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tioncm.sharepoint.com/sites/O365_FCMP_MAMP/Shared Documents/WBS 2000 Sector Wide Sharing of Lessons/2130-Deliver/Thematic Packages/Financial planning and LC costing/6-Deliverables/5-AMBC guide and tools/4- French FINAL/"/>
    </mc:Choice>
  </mc:AlternateContent>
  <xr:revisionPtr revIDLastSave="29" documentId="13_ncr:1_{663CC4B8-9F9E-4C67-A144-C7F545EE0B16}" xr6:coauthVersionLast="47" xr6:coauthVersionMax="47" xr10:uidLastSave="{B2E48C27-438C-4513-A9C6-3E4A0AD630F9}"/>
  <bookViews>
    <workbookView xWindow="-105" yWindow="0" windowWidth="14610" windowHeight="15585" tabRatio="769" firstSheet="12" activeTab="15" xr2:uid="{26F6F634-3A93-4B08-80E0-67EF822B8118}"/>
  </bookViews>
  <sheets>
    <sheet name="Sommaire" sheetId="5" r:id="rId1"/>
    <sheet name="Autres hypothèses" sheetId="4" r:id="rId2"/>
    <sheet name="Financement actuel" sheetId="6" r:id="rId3"/>
    <sheet name="Aires de jeux" sheetId="13" r:id="rId4"/>
    <sheet name="Véhicules et équipement" sheetId="15" r:id="rId5"/>
    <sheet name="Durée de vie utile" sheetId="8" r:id="rId6"/>
    <sheet name="Taux unitaires" sheetId="3" r:id="rId7"/>
    <sheet name="Conduite principale" sheetId="12" r:id="rId8"/>
    <sheet name="Sources de financement" sheetId="18" r:id="rId9"/>
    <sheet name="Analyse de sensibilité" sheetId="19" r:id="rId10"/>
    <sheet name="Dépenses prévues - égouts" sheetId="17" r:id="rId11"/>
    <sheet name="Bâtiments" sheetId="9" r:id="rId12"/>
    <sheet name="Bâtiments - Composant" sheetId="16" r:id="rId13"/>
    <sheet name="Routes" sheetId="10" r:id="rId14"/>
    <sheet name="Conduite princ. - égout pluvial" sheetId="7" r:id="rId15"/>
    <sheet name="Conduite principale d'eau" sheetId="1" r:id="rId16"/>
  </sheets>
  <definedNames>
    <definedName name="_xlnm._FilterDatabase" localSheetId="7" hidden="1">'Conduite principale'!$A$1:$Q$201</definedName>
    <definedName name="_xlnm._FilterDatabase" localSheetId="15" hidden="1">'Conduite principale d''eau'!$A$1:$O$250</definedName>
    <definedName name="_xlnm._FilterDatabase" localSheetId="13" hidden="1">Routes!$A$1:$Y$250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2" i="7" l="1"/>
  <c r="J25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" i="7"/>
  <c r="L3" i="13" l="1"/>
  <c r="L4" i="13"/>
  <c r="L5" i="13"/>
  <c r="L6" i="13"/>
  <c r="L7" i="13"/>
  <c r="L8" i="13"/>
  <c r="L9" i="13"/>
  <c r="L10" i="13"/>
  <c r="L11" i="13"/>
  <c r="L12" i="13"/>
  <c r="L2" i="13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" i="15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D3" i="5"/>
  <c r="B3" i="5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" i="7"/>
  <c r="H7" i="7"/>
  <c r="H8" i="7"/>
  <c r="H10" i="7"/>
  <c r="H11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2" i="7"/>
  <c r="H54" i="7"/>
  <c r="H56" i="7"/>
  <c r="H64" i="7"/>
  <c r="H65" i="7"/>
  <c r="H67" i="7"/>
  <c r="H70" i="7"/>
  <c r="H73" i="7"/>
  <c r="H76" i="7"/>
  <c r="H77" i="7"/>
  <c r="H78" i="7"/>
  <c r="H79" i="7"/>
  <c r="H83" i="7"/>
  <c r="H84" i="7"/>
  <c r="H88" i="7"/>
  <c r="H89" i="7"/>
  <c r="H91" i="7"/>
  <c r="H96" i="7"/>
  <c r="H103" i="7"/>
  <c r="H142" i="7"/>
  <c r="H174" i="7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" i="12"/>
  <c r="D25" i="8"/>
  <c r="D24" i="8"/>
  <c r="D23" i="8"/>
  <c r="D22" i="8"/>
  <c r="D21" i="8"/>
  <c r="G19" i="19"/>
  <c r="G12" i="19"/>
  <c r="G13" i="19" s="1"/>
  <c r="G15" i="19" s="1"/>
  <c r="E13" i="19"/>
  <c r="E15" i="19" s="1"/>
  <c r="I9" i="19"/>
  <c r="E9" i="19"/>
  <c r="I3" i="3"/>
  <c r="I4" i="3"/>
  <c r="I5" i="3"/>
  <c r="I6" i="3"/>
  <c r="I7" i="3"/>
  <c r="I8" i="3"/>
  <c r="D2" i="8"/>
  <c r="D3" i="8"/>
  <c r="F9" i="18"/>
  <c r="C27" i="17" s="1"/>
  <c r="D27" i="17" s="1"/>
  <c r="E27" i="17" s="1"/>
  <c r="F27" i="17" s="1"/>
  <c r="G27" i="17" s="1"/>
  <c r="H27" i="17" s="1"/>
  <c r="I27" i="17" s="1"/>
  <c r="J27" i="17" s="1"/>
  <c r="K27" i="17" s="1"/>
  <c r="L27" i="17" s="1"/>
  <c r="M27" i="17" s="1"/>
  <c r="N27" i="17" s="1"/>
  <c r="O27" i="17" s="1"/>
  <c r="P27" i="17" s="1"/>
  <c r="Q27" i="17" s="1"/>
  <c r="R27" i="17" s="1"/>
  <c r="S27" i="17" s="1"/>
  <c r="T27" i="17" s="1"/>
  <c r="U27" i="17" s="1"/>
  <c r="V27" i="17" s="1"/>
  <c r="W27" i="17" s="1"/>
  <c r="X27" i="17" s="1"/>
  <c r="Y27" i="17" s="1"/>
  <c r="Z27" i="17" s="1"/>
  <c r="AA27" i="17" s="1"/>
  <c r="AB27" i="17" s="1"/>
  <c r="AC27" i="17" s="1"/>
  <c r="AD27" i="17" s="1"/>
  <c r="AE27" i="17" s="1"/>
  <c r="AF27" i="17" s="1"/>
  <c r="AG27" i="17" s="1"/>
  <c r="AH27" i="17" s="1"/>
  <c r="AI27" i="17" s="1"/>
  <c r="AJ27" i="17" s="1"/>
  <c r="AK27" i="17" s="1"/>
  <c r="AL27" i="17" s="1"/>
  <c r="AM27" i="17" s="1"/>
  <c r="AN27" i="17" s="1"/>
  <c r="AO27" i="17" s="1"/>
  <c r="AP27" i="17" s="1"/>
  <c r="AQ27" i="17" s="1"/>
  <c r="AR27" i="17" s="1"/>
  <c r="AS27" i="17" s="1"/>
  <c r="AT27" i="17" s="1"/>
  <c r="AU27" i="17" s="1"/>
  <c r="AV27" i="17" s="1"/>
  <c r="AW27" i="17" s="1"/>
  <c r="AX27" i="17" s="1"/>
  <c r="AY27" i="17" s="1"/>
  <c r="AZ27" i="17" s="1"/>
  <c r="BA27" i="17" s="1"/>
  <c r="BB27" i="17" s="1"/>
  <c r="BC27" i="17" s="1"/>
  <c r="BD27" i="17" s="1"/>
  <c r="BE27" i="17" s="1"/>
  <c r="BF27" i="17" s="1"/>
  <c r="BG27" i="17" s="1"/>
  <c r="BH27" i="17" s="1"/>
  <c r="BI27" i="17" s="1"/>
  <c r="BJ27" i="17" s="1"/>
  <c r="BK27" i="17" s="1"/>
  <c r="BL27" i="17" s="1"/>
  <c r="BM27" i="17" s="1"/>
  <c r="BN27" i="17" s="1"/>
  <c r="BO27" i="17" s="1"/>
  <c r="BP27" i="17" s="1"/>
  <c r="BQ27" i="17" s="1"/>
  <c r="BR27" i="17" s="1"/>
  <c r="BS27" i="17" s="1"/>
  <c r="BT27" i="17" s="1"/>
  <c r="BU27" i="17" s="1"/>
  <c r="BV27" i="17" s="1"/>
  <c r="BW27" i="17" s="1"/>
  <c r="BX27" i="17" s="1"/>
  <c r="BY27" i="17" s="1"/>
  <c r="BZ27" i="17" s="1"/>
  <c r="CA27" i="17" s="1"/>
  <c r="CB27" i="17" s="1"/>
  <c r="CC27" i="17" s="1"/>
  <c r="CD27" i="17" s="1"/>
  <c r="CE27" i="17" s="1"/>
  <c r="CF27" i="17" s="1"/>
  <c r="CG27" i="17" s="1"/>
  <c r="CH27" i="17" s="1"/>
  <c r="CI27" i="17" s="1"/>
  <c r="CJ27" i="17" s="1"/>
  <c r="CK27" i="17" s="1"/>
  <c r="CL27" i="17" s="1"/>
  <c r="CM27" i="17" s="1"/>
  <c r="CN27" i="17" s="1"/>
  <c r="CO27" i="17" s="1"/>
  <c r="CP27" i="17" s="1"/>
  <c r="CQ27" i="17" s="1"/>
  <c r="CR27" i="17" s="1"/>
  <c r="CS27" i="17" s="1"/>
  <c r="CT27" i="17" s="1"/>
  <c r="CU27" i="17" s="1"/>
  <c r="CV27" i="17" s="1"/>
  <c r="CW27" i="17" s="1"/>
  <c r="CX27" i="17" s="1"/>
  <c r="L2" i="12"/>
  <c r="D4" i="8"/>
  <c r="D5" i="8"/>
  <c r="D6" i="8"/>
  <c r="H9" i="7" l="1"/>
  <c r="H59" i="7"/>
  <c r="H61" i="7"/>
  <c r="H66" i="7"/>
  <c r="H74" i="7"/>
  <c r="H75" i="7"/>
  <c r="H85" i="7"/>
  <c r="H90" i="7"/>
  <c r="H93" i="7"/>
  <c r="H95" i="7"/>
  <c r="H99" i="7"/>
  <c r="H100" i="7"/>
  <c r="H101" i="7"/>
  <c r="H105" i="7"/>
  <c r="H107" i="7"/>
  <c r="H109" i="7"/>
  <c r="H111" i="7"/>
  <c r="H116" i="7"/>
  <c r="H129" i="7"/>
  <c r="H131" i="7"/>
  <c r="H139" i="7"/>
  <c r="H144" i="7"/>
  <c r="H148" i="7"/>
  <c r="H153" i="7"/>
  <c r="H156" i="7"/>
  <c r="H167" i="7"/>
  <c r="H169" i="7"/>
  <c r="H178" i="7"/>
  <c r="H179" i="7"/>
  <c r="H182" i="7"/>
  <c r="H184" i="7"/>
  <c r="H185" i="7"/>
  <c r="H190" i="7"/>
  <c r="H196" i="7"/>
  <c r="H204" i="7"/>
  <c r="H205" i="7"/>
  <c r="H206" i="7"/>
  <c r="H210" i="7"/>
  <c r="H212" i="7"/>
  <c r="H213" i="7"/>
  <c r="H215" i="7"/>
  <c r="H216" i="7"/>
  <c r="H250" i="7"/>
  <c r="H2" i="7"/>
  <c r="H4" i="7"/>
  <c r="H6" i="7"/>
  <c r="H13" i="7"/>
  <c r="H53" i="7"/>
  <c r="H55" i="7"/>
  <c r="H80" i="7"/>
  <c r="H104" i="7"/>
  <c r="H112" i="7"/>
  <c r="H113" i="7"/>
  <c r="H114" i="7"/>
  <c r="H115" i="7"/>
  <c r="H119" i="7"/>
  <c r="H120" i="7"/>
  <c r="H123" i="7"/>
  <c r="H124" i="7"/>
  <c r="H126" i="7"/>
  <c r="H127" i="7"/>
  <c r="H133" i="7"/>
  <c r="H134" i="7"/>
  <c r="H138" i="7"/>
  <c r="H141" i="7"/>
  <c r="H145" i="7"/>
  <c r="H147" i="7"/>
  <c r="H149" i="7"/>
  <c r="H150" i="7"/>
  <c r="H152" i="7"/>
  <c r="H154" i="7"/>
  <c r="H157" i="7"/>
  <c r="H158" i="7"/>
  <c r="H160" i="7"/>
  <c r="H162" i="7"/>
  <c r="H163" i="7"/>
  <c r="H164" i="7"/>
  <c r="H165" i="7"/>
  <c r="H168" i="7"/>
  <c r="H170" i="7"/>
  <c r="H172" i="7"/>
  <c r="H175" i="7"/>
  <c r="H176" i="7"/>
  <c r="H180" i="7"/>
  <c r="H181" i="7"/>
  <c r="H183" i="7"/>
  <c r="H186" i="7"/>
  <c r="H187" i="7"/>
  <c r="H192" i="7"/>
  <c r="H195" i="7"/>
  <c r="H197" i="7"/>
  <c r="H198" i="7"/>
  <c r="H200" i="7"/>
  <c r="H202" i="7"/>
  <c r="H207" i="7"/>
  <c r="H209" i="7"/>
  <c r="H217" i="7"/>
  <c r="H218" i="7"/>
  <c r="H3" i="7"/>
  <c r="H5" i="7"/>
  <c r="H12" i="7"/>
  <c r="H57" i="7"/>
  <c r="H58" i="7"/>
  <c r="H60" i="7"/>
  <c r="H62" i="7"/>
  <c r="H63" i="7"/>
  <c r="H68" i="7"/>
  <c r="H69" i="7"/>
  <c r="H71" i="7"/>
  <c r="H82" i="7"/>
  <c r="H86" i="7"/>
  <c r="H87" i="7"/>
  <c r="H92" i="7"/>
  <c r="H94" i="7"/>
  <c r="H97" i="7"/>
  <c r="H98" i="7"/>
  <c r="H110" i="7"/>
  <c r="H117" i="7"/>
  <c r="H118" i="7"/>
  <c r="H121" i="7"/>
  <c r="H122" i="7"/>
  <c r="H125" i="7"/>
  <c r="H128" i="7"/>
  <c r="H130" i="7"/>
  <c r="H132" i="7"/>
  <c r="H135" i="7"/>
  <c r="H136" i="7"/>
  <c r="H137" i="7"/>
  <c r="H140" i="7"/>
  <c r="H143" i="7"/>
  <c r="H146" i="7"/>
  <c r="H151" i="7"/>
  <c r="H155" i="7"/>
  <c r="H159" i="7"/>
  <c r="H161" i="7"/>
  <c r="H171" i="7"/>
  <c r="H177" i="7"/>
  <c r="H188" i="7"/>
  <c r="H189" i="7"/>
  <c r="H191" i="7"/>
  <c r="H193" i="7"/>
  <c r="H194" i="7"/>
  <c r="H199" i="7"/>
  <c r="H201" i="7"/>
  <c r="H203" i="7"/>
  <c r="H208" i="7"/>
  <c r="H211" i="7"/>
  <c r="H214" i="7"/>
  <c r="H51" i="7"/>
  <c r="H72" i="7"/>
  <c r="H81" i="7"/>
  <c r="H102" i="7"/>
  <c r="H106" i="7"/>
  <c r="H108" i="7"/>
  <c r="H166" i="7"/>
  <c r="H173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51" i="12"/>
  <c r="H72" i="12"/>
  <c r="H81" i="12"/>
  <c r="H102" i="12"/>
  <c r="H106" i="12"/>
  <c r="H108" i="12"/>
  <c r="H166" i="12"/>
  <c r="H173" i="12"/>
  <c r="H7" i="12"/>
  <c r="H8" i="12"/>
  <c r="H10" i="12"/>
  <c r="P10" i="12" s="1"/>
  <c r="Q10" i="12" s="1"/>
  <c r="H11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2" i="12"/>
  <c r="H54" i="12"/>
  <c r="H56" i="12"/>
  <c r="H64" i="12"/>
  <c r="H65" i="12"/>
  <c r="H67" i="12"/>
  <c r="H70" i="12"/>
  <c r="H73" i="12"/>
  <c r="H76" i="12"/>
  <c r="H77" i="12"/>
  <c r="H78" i="12"/>
  <c r="H79" i="12"/>
  <c r="H83" i="12"/>
  <c r="H84" i="12"/>
  <c r="H88" i="12"/>
  <c r="H89" i="12"/>
  <c r="H91" i="12"/>
  <c r="H96" i="12"/>
  <c r="H103" i="12"/>
  <c r="H142" i="12"/>
  <c r="H174" i="12"/>
  <c r="H3" i="12"/>
  <c r="H5" i="12"/>
  <c r="H12" i="12"/>
  <c r="H57" i="12"/>
  <c r="H58" i="12"/>
  <c r="H60" i="12"/>
  <c r="H62" i="12"/>
  <c r="H63" i="12"/>
  <c r="H68" i="12"/>
  <c r="H69" i="12"/>
  <c r="H71" i="12"/>
  <c r="H82" i="12"/>
  <c r="H86" i="12"/>
  <c r="H87" i="12"/>
  <c r="H92" i="12"/>
  <c r="H94" i="12"/>
  <c r="H97" i="12"/>
  <c r="H98" i="12"/>
  <c r="H110" i="12"/>
  <c r="H117" i="12"/>
  <c r="H118" i="12"/>
  <c r="H121" i="12"/>
  <c r="H122" i="12"/>
  <c r="H125" i="12"/>
  <c r="H128" i="12"/>
  <c r="H130" i="12"/>
  <c r="H132" i="12"/>
  <c r="H135" i="12"/>
  <c r="H136" i="12"/>
  <c r="H137" i="12"/>
  <c r="H140" i="12"/>
  <c r="H143" i="12"/>
  <c r="H146" i="12"/>
  <c r="H151" i="12"/>
  <c r="H155" i="12"/>
  <c r="H159" i="12"/>
  <c r="H161" i="12"/>
  <c r="H171" i="12"/>
  <c r="H177" i="12"/>
  <c r="H188" i="12"/>
  <c r="H189" i="12"/>
  <c r="H191" i="12"/>
  <c r="H193" i="12"/>
  <c r="H194" i="12"/>
  <c r="H199" i="12"/>
  <c r="H201" i="12"/>
  <c r="H4" i="12"/>
  <c r="H6" i="12"/>
  <c r="H13" i="12"/>
  <c r="H53" i="12"/>
  <c r="H55" i="12"/>
  <c r="H80" i="12"/>
  <c r="H104" i="12"/>
  <c r="H112" i="12"/>
  <c r="H113" i="12"/>
  <c r="H114" i="12"/>
  <c r="H115" i="12"/>
  <c r="H119" i="12"/>
  <c r="H120" i="12"/>
  <c r="H123" i="12"/>
  <c r="H124" i="12"/>
  <c r="H126" i="12"/>
  <c r="H127" i="12"/>
  <c r="H133" i="12"/>
  <c r="H134" i="12"/>
  <c r="H138" i="12"/>
  <c r="H141" i="12"/>
  <c r="H145" i="12"/>
  <c r="H147" i="12"/>
  <c r="H149" i="12"/>
  <c r="H150" i="12"/>
  <c r="H152" i="12"/>
  <c r="H154" i="12"/>
  <c r="H157" i="12"/>
  <c r="H158" i="12"/>
  <c r="H160" i="12"/>
  <c r="H162" i="12"/>
  <c r="H163" i="12"/>
  <c r="H164" i="12"/>
  <c r="H165" i="12"/>
  <c r="H168" i="12"/>
  <c r="H170" i="12"/>
  <c r="H172" i="12"/>
  <c r="H175" i="12"/>
  <c r="H176" i="12"/>
  <c r="H180" i="12"/>
  <c r="H181" i="12"/>
  <c r="H183" i="12"/>
  <c r="H186" i="12"/>
  <c r="H187" i="12"/>
  <c r="H192" i="12"/>
  <c r="H195" i="12"/>
  <c r="H197" i="12"/>
  <c r="H198" i="12"/>
  <c r="H200" i="12"/>
  <c r="H9" i="12"/>
  <c r="H59" i="12"/>
  <c r="H61" i="12"/>
  <c r="H66" i="12"/>
  <c r="H74" i="12"/>
  <c r="H75" i="12"/>
  <c r="H85" i="12"/>
  <c r="H90" i="12"/>
  <c r="H93" i="12"/>
  <c r="H95" i="12"/>
  <c r="H99" i="12"/>
  <c r="H100" i="12"/>
  <c r="H101" i="12"/>
  <c r="H105" i="12"/>
  <c r="H107" i="12"/>
  <c r="H109" i="12"/>
  <c r="H111" i="12"/>
  <c r="H116" i="12"/>
  <c r="H129" i="12"/>
  <c r="H131" i="12"/>
  <c r="H139" i="12"/>
  <c r="H144" i="12"/>
  <c r="H148" i="12"/>
  <c r="H153" i="12"/>
  <c r="H156" i="12"/>
  <c r="H167" i="12"/>
  <c r="H169" i="12"/>
  <c r="H178" i="12"/>
  <c r="H179" i="12"/>
  <c r="H182" i="12"/>
  <c r="H184" i="12"/>
  <c r="H185" i="12"/>
  <c r="H190" i="12"/>
  <c r="H196" i="12"/>
  <c r="H2" i="12"/>
  <c r="P2" i="12" s="1"/>
  <c r="Q2" i="12"/>
  <c r="M2" i="12"/>
  <c r="F7" i="3"/>
  <c r="E14" i="7" s="1"/>
  <c r="D29" i="8"/>
  <c r="C11" i="3" l="1"/>
  <c r="C10" i="3"/>
  <c r="F4" i="3"/>
  <c r="E213" i="7" s="1"/>
  <c r="F8" i="3"/>
  <c r="C6" i="3"/>
  <c r="F5" i="3"/>
  <c r="C4" i="3"/>
  <c r="F3" i="3"/>
  <c r="E3" i="7" s="1"/>
  <c r="C5" i="3"/>
  <c r="C3" i="3"/>
  <c r="C7" i="3"/>
  <c r="F6" i="3"/>
  <c r="D12" i="8"/>
  <c r="D18" i="8"/>
  <c r="P34" i="10" s="1"/>
  <c r="D9" i="8"/>
  <c r="D13" i="8"/>
  <c r="D27" i="8"/>
  <c r="D10" i="8"/>
  <c r="D16" i="8"/>
  <c r="D28" i="8"/>
  <c r="D11" i="8"/>
  <c r="D17" i="8"/>
  <c r="G4" i="9"/>
  <c r="G5" i="9"/>
  <c r="G6" i="9"/>
  <c r="G7" i="9"/>
  <c r="G8" i="9"/>
  <c r="G9" i="9"/>
  <c r="G10" i="9"/>
  <c r="G11" i="9"/>
  <c r="Q78" i="16"/>
  <c r="P78" i="16"/>
  <c r="O78" i="16"/>
  <c r="J78" i="16"/>
  <c r="G78" i="16"/>
  <c r="K78" i="16" s="1"/>
  <c r="D78" i="16"/>
  <c r="C78" i="16"/>
  <c r="O77" i="16"/>
  <c r="P77" i="16" s="1"/>
  <c r="Q77" i="16" s="1"/>
  <c r="J77" i="16"/>
  <c r="K77" i="16" s="1"/>
  <c r="G77" i="16"/>
  <c r="M77" i="16" s="1"/>
  <c r="D77" i="16"/>
  <c r="C77" i="16"/>
  <c r="O76" i="16"/>
  <c r="P76" i="16" s="1"/>
  <c r="Q76" i="16" s="1"/>
  <c r="J76" i="16"/>
  <c r="G76" i="16"/>
  <c r="M76" i="16" s="1"/>
  <c r="D76" i="16"/>
  <c r="C76" i="16"/>
  <c r="O75" i="16"/>
  <c r="P75" i="16" s="1"/>
  <c r="Q75" i="16" s="1"/>
  <c r="K75" i="16"/>
  <c r="J75" i="16"/>
  <c r="G75" i="16"/>
  <c r="M75" i="16" s="1"/>
  <c r="D75" i="16"/>
  <c r="C75" i="16"/>
  <c r="O74" i="16"/>
  <c r="P74" i="16" s="1"/>
  <c r="Q74" i="16" s="1"/>
  <c r="J74" i="16"/>
  <c r="K74" i="16" s="1"/>
  <c r="G74" i="16"/>
  <c r="M74" i="16" s="1"/>
  <c r="D74" i="16"/>
  <c r="C74" i="16"/>
  <c r="O73" i="16"/>
  <c r="P73" i="16" s="1"/>
  <c r="Q73" i="16" s="1"/>
  <c r="J73" i="16"/>
  <c r="G73" i="16"/>
  <c r="D73" i="16"/>
  <c r="C73" i="16"/>
  <c r="P72" i="16"/>
  <c r="Q72" i="16" s="1"/>
  <c r="R72" i="16" s="1"/>
  <c r="S72" i="16" s="1"/>
  <c r="M72" i="16"/>
  <c r="J72" i="16"/>
  <c r="K72" i="16" s="1"/>
  <c r="O71" i="16"/>
  <c r="P71" i="16" s="1"/>
  <c r="Q71" i="16" s="1"/>
  <c r="M71" i="16"/>
  <c r="J71" i="16"/>
  <c r="G71" i="16"/>
  <c r="K71" i="16" s="1"/>
  <c r="D71" i="16"/>
  <c r="C71" i="16"/>
  <c r="P70" i="16"/>
  <c r="Q70" i="16" s="1"/>
  <c r="O70" i="16"/>
  <c r="J70" i="16"/>
  <c r="G70" i="16"/>
  <c r="M70" i="16" s="1"/>
  <c r="D70" i="16"/>
  <c r="C70" i="16"/>
  <c r="O69" i="16"/>
  <c r="P69" i="16" s="1"/>
  <c r="Q69" i="16" s="1"/>
  <c r="K69" i="16"/>
  <c r="J69" i="16"/>
  <c r="G69" i="16"/>
  <c r="M69" i="16" s="1"/>
  <c r="D69" i="16"/>
  <c r="C69" i="16"/>
  <c r="O68" i="16"/>
  <c r="P68" i="16" s="1"/>
  <c r="Q68" i="16" s="1"/>
  <c r="J68" i="16"/>
  <c r="K68" i="16" s="1"/>
  <c r="G68" i="16"/>
  <c r="M68" i="16" s="1"/>
  <c r="D68" i="16"/>
  <c r="C68" i="16"/>
  <c r="Q67" i="16"/>
  <c r="O67" i="16"/>
  <c r="P67" i="16" s="1"/>
  <c r="J67" i="16"/>
  <c r="G67" i="16"/>
  <c r="K67" i="16" s="1"/>
  <c r="D67" i="16"/>
  <c r="C67" i="16"/>
  <c r="P66" i="16"/>
  <c r="Q66" i="16" s="1"/>
  <c r="O66" i="16"/>
  <c r="J66" i="16"/>
  <c r="G66" i="16"/>
  <c r="M66" i="16" s="1"/>
  <c r="D66" i="16"/>
  <c r="C66" i="16"/>
  <c r="Q65" i="16"/>
  <c r="R65" i="16" s="1"/>
  <c r="S65" i="16" s="1"/>
  <c r="P65" i="16"/>
  <c r="M65" i="16"/>
  <c r="J65" i="16"/>
  <c r="K65" i="16" s="1"/>
  <c r="P64" i="16"/>
  <c r="Q64" i="16" s="1"/>
  <c r="O64" i="16"/>
  <c r="J64" i="16"/>
  <c r="G64" i="16"/>
  <c r="M64" i="16" s="1"/>
  <c r="D64" i="16"/>
  <c r="C64" i="16"/>
  <c r="O63" i="16"/>
  <c r="P63" i="16" s="1"/>
  <c r="Q63" i="16" s="1"/>
  <c r="K63" i="16"/>
  <c r="J63" i="16"/>
  <c r="G63" i="16"/>
  <c r="M63" i="16" s="1"/>
  <c r="D63" i="16"/>
  <c r="C63" i="16"/>
  <c r="P62" i="16"/>
  <c r="Q62" i="16" s="1"/>
  <c r="O62" i="16"/>
  <c r="J62" i="16"/>
  <c r="G62" i="16"/>
  <c r="K62" i="16" s="1"/>
  <c r="D62" i="16"/>
  <c r="C62" i="16"/>
  <c r="O61" i="16"/>
  <c r="P61" i="16" s="1"/>
  <c r="Q61" i="16" s="1"/>
  <c r="J61" i="16"/>
  <c r="G61" i="16"/>
  <c r="K61" i="16" s="1"/>
  <c r="D61" i="16"/>
  <c r="C61" i="16"/>
  <c r="P60" i="16"/>
  <c r="Q60" i="16" s="1"/>
  <c r="O60" i="16"/>
  <c r="J60" i="16"/>
  <c r="G60" i="16"/>
  <c r="M60" i="16" s="1"/>
  <c r="D60" i="16"/>
  <c r="C60" i="16"/>
  <c r="O59" i="16"/>
  <c r="P59" i="16" s="1"/>
  <c r="Q59" i="16" s="1"/>
  <c r="K59" i="16"/>
  <c r="J59" i="16"/>
  <c r="G59" i="16"/>
  <c r="M59" i="16" s="1"/>
  <c r="D59" i="16"/>
  <c r="C59" i="16"/>
  <c r="P58" i="16"/>
  <c r="Q58" i="16" s="1"/>
  <c r="R58" i="16" s="1"/>
  <c r="S58" i="16" s="1"/>
  <c r="M58" i="16"/>
  <c r="K58" i="16"/>
  <c r="J58" i="16"/>
  <c r="O57" i="16"/>
  <c r="P57" i="16" s="1"/>
  <c r="Q57" i="16" s="1"/>
  <c r="K57" i="16"/>
  <c r="J57" i="16"/>
  <c r="G57" i="16"/>
  <c r="M57" i="16" s="1"/>
  <c r="D57" i="16"/>
  <c r="C57" i="16"/>
  <c r="P56" i="16"/>
  <c r="Q56" i="16" s="1"/>
  <c r="O56" i="16"/>
  <c r="J56" i="16"/>
  <c r="G56" i="16"/>
  <c r="D56" i="16"/>
  <c r="C56" i="16"/>
  <c r="Q55" i="16"/>
  <c r="O55" i="16"/>
  <c r="P55" i="16" s="1"/>
  <c r="J55" i="16"/>
  <c r="G55" i="16"/>
  <c r="K55" i="16" s="1"/>
  <c r="D55" i="16"/>
  <c r="C55" i="16"/>
  <c r="P54" i="16"/>
  <c r="Q54" i="16" s="1"/>
  <c r="O54" i="16"/>
  <c r="J54" i="16"/>
  <c r="G54" i="16"/>
  <c r="M54" i="16" s="1"/>
  <c r="D54" i="16"/>
  <c r="C54" i="16"/>
  <c r="O53" i="16"/>
  <c r="P53" i="16" s="1"/>
  <c r="Q53" i="16" s="1"/>
  <c r="K53" i="16"/>
  <c r="J53" i="16"/>
  <c r="G53" i="16"/>
  <c r="M53" i="16" s="1"/>
  <c r="D53" i="16"/>
  <c r="C53" i="16"/>
  <c r="P52" i="16"/>
  <c r="Q52" i="16" s="1"/>
  <c r="O52" i="16"/>
  <c r="J52" i="16"/>
  <c r="K52" i="16" s="1"/>
  <c r="G52" i="16"/>
  <c r="M52" i="16" s="1"/>
  <c r="D52" i="16"/>
  <c r="C52" i="16"/>
  <c r="Q51" i="16"/>
  <c r="R51" i="16" s="1"/>
  <c r="S51" i="16" s="1"/>
  <c r="P51" i="16"/>
  <c r="M51" i="16"/>
  <c r="J51" i="16"/>
  <c r="K51" i="16" s="1"/>
  <c r="P50" i="16"/>
  <c r="Q50" i="16" s="1"/>
  <c r="O50" i="16"/>
  <c r="J50" i="16"/>
  <c r="K50" i="16" s="1"/>
  <c r="G50" i="16"/>
  <c r="M50" i="16" s="1"/>
  <c r="D50" i="16"/>
  <c r="C50" i="16"/>
  <c r="Q49" i="16"/>
  <c r="O49" i="16"/>
  <c r="P49" i="16" s="1"/>
  <c r="J49" i="16"/>
  <c r="G49" i="16"/>
  <c r="K49" i="16" s="1"/>
  <c r="D49" i="16"/>
  <c r="C49" i="16"/>
  <c r="P48" i="16"/>
  <c r="Q48" i="16" s="1"/>
  <c r="O48" i="16"/>
  <c r="J48" i="16"/>
  <c r="G48" i="16"/>
  <c r="M48" i="16" s="1"/>
  <c r="D48" i="16"/>
  <c r="C48" i="16"/>
  <c r="O47" i="16"/>
  <c r="P47" i="16" s="1"/>
  <c r="Q47" i="16" s="1"/>
  <c r="K47" i="16"/>
  <c r="J47" i="16"/>
  <c r="G47" i="16"/>
  <c r="M47" i="16" s="1"/>
  <c r="D47" i="16"/>
  <c r="C47" i="16"/>
  <c r="P46" i="16"/>
  <c r="Q46" i="16" s="1"/>
  <c r="O46" i="16"/>
  <c r="J46" i="16"/>
  <c r="K46" i="16" s="1"/>
  <c r="G46" i="16"/>
  <c r="M46" i="16" s="1"/>
  <c r="D46" i="16"/>
  <c r="C46" i="16"/>
  <c r="O45" i="16"/>
  <c r="P45" i="16" s="1"/>
  <c r="Q45" i="16" s="1"/>
  <c r="J45" i="16"/>
  <c r="G45" i="16"/>
  <c r="K45" i="16" s="1"/>
  <c r="D45" i="16"/>
  <c r="C45" i="16"/>
  <c r="P44" i="16"/>
  <c r="Q44" i="16" s="1"/>
  <c r="R44" i="16" s="1"/>
  <c r="S44" i="16" s="1"/>
  <c r="M44" i="16"/>
  <c r="K44" i="16"/>
  <c r="J44" i="16"/>
  <c r="O43" i="16"/>
  <c r="P43" i="16" s="1"/>
  <c r="Q43" i="16" s="1"/>
  <c r="J43" i="16"/>
  <c r="G43" i="16"/>
  <c r="K43" i="16" s="1"/>
  <c r="D43" i="16"/>
  <c r="C43" i="16"/>
  <c r="P42" i="16"/>
  <c r="Q42" i="16" s="1"/>
  <c r="O42" i="16"/>
  <c r="J42" i="16"/>
  <c r="G42" i="16"/>
  <c r="M42" i="16" s="1"/>
  <c r="D42" i="16"/>
  <c r="C42" i="16"/>
  <c r="O41" i="16"/>
  <c r="P41" i="16" s="1"/>
  <c r="Q41" i="16" s="1"/>
  <c r="K41" i="16"/>
  <c r="J41" i="16"/>
  <c r="G41" i="16"/>
  <c r="M41" i="16" s="1"/>
  <c r="D41" i="16"/>
  <c r="C41" i="16"/>
  <c r="P40" i="16"/>
  <c r="Q40" i="16" s="1"/>
  <c r="O40" i="16"/>
  <c r="J40" i="16"/>
  <c r="K40" i="16" s="1"/>
  <c r="G40" i="16"/>
  <c r="M40" i="16" s="1"/>
  <c r="D40" i="16"/>
  <c r="C40" i="16"/>
  <c r="O39" i="16"/>
  <c r="P39" i="16" s="1"/>
  <c r="Q39" i="16" s="1"/>
  <c r="M39" i="16"/>
  <c r="J39" i="16"/>
  <c r="G39" i="16"/>
  <c r="K39" i="16" s="1"/>
  <c r="D39" i="16"/>
  <c r="C39" i="16"/>
  <c r="P38" i="16"/>
  <c r="Q38" i="16" s="1"/>
  <c r="O38" i="16"/>
  <c r="J38" i="16"/>
  <c r="G38" i="16"/>
  <c r="M38" i="16" s="1"/>
  <c r="D38" i="16"/>
  <c r="C38" i="16"/>
  <c r="Q37" i="16"/>
  <c r="R37" i="16" s="1"/>
  <c r="S37" i="16" s="1"/>
  <c r="P37" i="16"/>
  <c r="M37" i="16"/>
  <c r="J37" i="16"/>
  <c r="K37" i="16" s="1"/>
  <c r="P36" i="16"/>
  <c r="Q36" i="16" s="1"/>
  <c r="O36" i="16"/>
  <c r="J36" i="16"/>
  <c r="G36" i="16"/>
  <c r="M36" i="16" s="1"/>
  <c r="D36" i="16"/>
  <c r="C36" i="16"/>
  <c r="O35" i="16"/>
  <c r="P35" i="16" s="1"/>
  <c r="Q35" i="16" s="1"/>
  <c r="K35" i="16"/>
  <c r="J35" i="16"/>
  <c r="G35" i="16"/>
  <c r="M35" i="16" s="1"/>
  <c r="D35" i="16"/>
  <c r="C35" i="16"/>
  <c r="P34" i="16"/>
  <c r="Q34" i="16" s="1"/>
  <c r="O34" i="16"/>
  <c r="J34" i="16"/>
  <c r="K34" i="16" s="1"/>
  <c r="G34" i="16"/>
  <c r="M34" i="16" s="1"/>
  <c r="D34" i="16"/>
  <c r="C34" i="16"/>
  <c r="O33" i="16"/>
  <c r="P33" i="16" s="1"/>
  <c r="Q33" i="16" s="1"/>
  <c r="M33" i="16"/>
  <c r="J33" i="16"/>
  <c r="G33" i="16"/>
  <c r="K33" i="16" s="1"/>
  <c r="D33" i="16"/>
  <c r="C33" i="16"/>
  <c r="P32" i="16"/>
  <c r="Q32" i="16" s="1"/>
  <c r="O32" i="16"/>
  <c r="J32" i="16"/>
  <c r="G32" i="16"/>
  <c r="M32" i="16" s="1"/>
  <c r="D32" i="16"/>
  <c r="C32" i="16"/>
  <c r="O31" i="16"/>
  <c r="P31" i="16" s="1"/>
  <c r="Q31" i="16" s="1"/>
  <c r="K31" i="16"/>
  <c r="J31" i="16"/>
  <c r="G31" i="16"/>
  <c r="M31" i="16" s="1"/>
  <c r="D31" i="16"/>
  <c r="C31" i="16"/>
  <c r="P30" i="16"/>
  <c r="Q30" i="16" s="1"/>
  <c r="R30" i="16" s="1"/>
  <c r="S30" i="16" s="1"/>
  <c r="M30" i="16"/>
  <c r="K30" i="16"/>
  <c r="J30" i="16"/>
  <c r="O29" i="16"/>
  <c r="P29" i="16" s="1"/>
  <c r="Q29" i="16" s="1"/>
  <c r="K29" i="16"/>
  <c r="J29" i="16"/>
  <c r="G29" i="16"/>
  <c r="M29" i="16" s="1"/>
  <c r="D29" i="16"/>
  <c r="C29" i="16"/>
  <c r="P28" i="16"/>
  <c r="Q28" i="16" s="1"/>
  <c r="O28" i="16"/>
  <c r="J28" i="16"/>
  <c r="G28" i="16"/>
  <c r="K28" i="16" s="1"/>
  <c r="N28" i="16" s="1"/>
  <c r="D28" i="16"/>
  <c r="C28" i="16"/>
  <c r="O27" i="16"/>
  <c r="P27" i="16" s="1"/>
  <c r="Q27" i="16" s="1"/>
  <c r="J27" i="16"/>
  <c r="G27" i="16"/>
  <c r="M27" i="16" s="1"/>
  <c r="D27" i="16"/>
  <c r="C27" i="16"/>
  <c r="P26" i="16"/>
  <c r="Q26" i="16" s="1"/>
  <c r="O26" i="16"/>
  <c r="J26" i="16"/>
  <c r="G26" i="16"/>
  <c r="M26" i="16" s="1"/>
  <c r="D26" i="16"/>
  <c r="C26" i="16"/>
  <c r="O25" i="16"/>
  <c r="P25" i="16" s="1"/>
  <c r="Q25" i="16" s="1"/>
  <c r="J25" i="16"/>
  <c r="G25" i="16"/>
  <c r="M25" i="16" s="1"/>
  <c r="D25" i="16"/>
  <c r="C25" i="16"/>
  <c r="P24" i="16"/>
  <c r="Q24" i="16" s="1"/>
  <c r="O24" i="16"/>
  <c r="J24" i="16"/>
  <c r="G24" i="16"/>
  <c r="K24" i="16" s="1"/>
  <c r="D24" i="16"/>
  <c r="C24" i="16"/>
  <c r="P23" i="16"/>
  <c r="Q23" i="16" s="1"/>
  <c r="R23" i="16" s="1"/>
  <c r="S23" i="16" s="1"/>
  <c r="M23" i="16"/>
  <c r="J23" i="16"/>
  <c r="K23" i="16" s="1"/>
  <c r="O22" i="16"/>
  <c r="P22" i="16" s="1"/>
  <c r="Q22" i="16" s="1"/>
  <c r="J22" i="16"/>
  <c r="G22" i="16"/>
  <c r="K22" i="16" s="1"/>
  <c r="D22" i="16"/>
  <c r="C22" i="16"/>
  <c r="P21" i="16"/>
  <c r="Q21" i="16" s="1"/>
  <c r="O21" i="16"/>
  <c r="J21" i="16"/>
  <c r="G21" i="16"/>
  <c r="K21" i="16" s="1"/>
  <c r="N21" i="16" s="1"/>
  <c r="D21" i="16"/>
  <c r="C21" i="16"/>
  <c r="O20" i="16"/>
  <c r="P20" i="16" s="1"/>
  <c r="Q20" i="16" s="1"/>
  <c r="K20" i="16"/>
  <c r="N20" i="16" s="1"/>
  <c r="J20" i="16"/>
  <c r="G20" i="16"/>
  <c r="M20" i="16" s="1"/>
  <c r="D20" i="16"/>
  <c r="C20" i="16"/>
  <c r="O19" i="16"/>
  <c r="P19" i="16" s="1"/>
  <c r="Q19" i="16" s="1"/>
  <c r="J19" i="16"/>
  <c r="K19" i="16" s="1"/>
  <c r="G19" i="16"/>
  <c r="M19" i="16" s="1"/>
  <c r="D19" i="16"/>
  <c r="C19" i="16"/>
  <c r="O18" i="16"/>
  <c r="P18" i="16" s="1"/>
  <c r="Q18" i="16" s="1"/>
  <c r="J18" i="16"/>
  <c r="G18" i="16"/>
  <c r="K18" i="16" s="1"/>
  <c r="N18" i="16" s="1"/>
  <c r="D18" i="16"/>
  <c r="C18" i="16"/>
  <c r="P17" i="16"/>
  <c r="Q17" i="16" s="1"/>
  <c r="O17" i="16"/>
  <c r="J17" i="16"/>
  <c r="G17" i="16"/>
  <c r="K17" i="16" s="1"/>
  <c r="D17" i="16"/>
  <c r="C17" i="16"/>
  <c r="Q16" i="16"/>
  <c r="R16" i="16" s="1"/>
  <c r="S16" i="16" s="1"/>
  <c r="P16" i="16"/>
  <c r="M16" i="16"/>
  <c r="J16" i="16"/>
  <c r="K16" i="16" s="1"/>
  <c r="N16" i="16" s="1"/>
  <c r="P15" i="16"/>
  <c r="Q15" i="16" s="1"/>
  <c r="O15" i="16"/>
  <c r="J15" i="16"/>
  <c r="G15" i="16"/>
  <c r="K15" i="16" s="1"/>
  <c r="N15" i="16" s="1"/>
  <c r="D15" i="16"/>
  <c r="C15" i="16"/>
  <c r="O14" i="16"/>
  <c r="P14" i="16" s="1"/>
  <c r="Q14" i="16" s="1"/>
  <c r="K14" i="16"/>
  <c r="N14" i="16" s="1"/>
  <c r="J14" i="16"/>
  <c r="G14" i="16"/>
  <c r="M14" i="16" s="1"/>
  <c r="D14" i="16"/>
  <c r="C14" i="16"/>
  <c r="P13" i="16"/>
  <c r="Q13" i="16" s="1"/>
  <c r="O13" i="16"/>
  <c r="J13" i="16"/>
  <c r="K13" i="16" s="1"/>
  <c r="G13" i="16"/>
  <c r="M13" i="16" s="1"/>
  <c r="D13" i="16"/>
  <c r="C13" i="16"/>
  <c r="O12" i="16"/>
  <c r="P12" i="16" s="1"/>
  <c r="Q12" i="16" s="1"/>
  <c r="J12" i="16"/>
  <c r="G12" i="16"/>
  <c r="K12" i="16" s="1"/>
  <c r="D12" i="16"/>
  <c r="C12" i="16"/>
  <c r="P11" i="16"/>
  <c r="Q11" i="16" s="1"/>
  <c r="O11" i="16"/>
  <c r="J11" i="16"/>
  <c r="G11" i="16"/>
  <c r="K11" i="16" s="1"/>
  <c r="D11" i="16"/>
  <c r="C11" i="16"/>
  <c r="O10" i="16"/>
  <c r="P10" i="16" s="1"/>
  <c r="Q10" i="16" s="1"/>
  <c r="K10" i="16"/>
  <c r="J10" i="16"/>
  <c r="G10" i="16"/>
  <c r="M10" i="16" s="1"/>
  <c r="D10" i="16"/>
  <c r="C10" i="16"/>
  <c r="P9" i="16"/>
  <c r="Q9" i="16" s="1"/>
  <c r="R9" i="16" s="1"/>
  <c r="S9" i="16" s="1"/>
  <c r="M9" i="16"/>
  <c r="G3" i="9" s="1"/>
  <c r="K9" i="16"/>
  <c r="J9" i="16"/>
  <c r="O8" i="16"/>
  <c r="P8" i="16" s="1"/>
  <c r="Q8" i="16" s="1"/>
  <c r="K8" i="16"/>
  <c r="J8" i="16"/>
  <c r="G8" i="16"/>
  <c r="P7" i="16"/>
  <c r="Q7" i="16" s="1"/>
  <c r="O7" i="16"/>
  <c r="J7" i="16"/>
  <c r="G7" i="16"/>
  <c r="K7" i="16" s="1"/>
  <c r="O6" i="16"/>
  <c r="P6" i="16" s="1"/>
  <c r="Q6" i="16" s="1"/>
  <c r="J6" i="16"/>
  <c r="G6" i="16"/>
  <c r="K6" i="16" s="1"/>
  <c r="P5" i="16"/>
  <c r="Q5" i="16" s="1"/>
  <c r="O5" i="16"/>
  <c r="J5" i="16"/>
  <c r="K5" i="16" s="1"/>
  <c r="G5" i="16"/>
  <c r="O4" i="16"/>
  <c r="P4" i="16" s="1"/>
  <c r="Q4" i="16" s="1"/>
  <c r="J4" i="16"/>
  <c r="G4" i="16"/>
  <c r="K4" i="16" s="1"/>
  <c r="N4" i="16" s="1"/>
  <c r="O3" i="16"/>
  <c r="P3" i="16" s="1"/>
  <c r="Q3" i="16" s="1"/>
  <c r="J3" i="16"/>
  <c r="G3" i="16"/>
  <c r="P2" i="16"/>
  <c r="Q2" i="16" s="1"/>
  <c r="R2" i="16" s="1"/>
  <c r="L2" i="16"/>
  <c r="L3" i="16" s="1"/>
  <c r="L4" i="16" s="1"/>
  <c r="L5" i="16" s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J2" i="16"/>
  <c r="K2" i="16" s="1"/>
  <c r="C25" i="6"/>
  <c r="E16" i="5" s="1"/>
  <c r="C19" i="6"/>
  <c r="E12" i="5" s="1"/>
  <c r="E6" i="5"/>
  <c r="G8" i="6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G24" i="15"/>
  <c r="F24" i="15"/>
  <c r="I17" i="15"/>
  <c r="J17" i="15" s="1"/>
  <c r="L17" i="15" s="1"/>
  <c r="M17" i="15" s="1"/>
  <c r="I18" i="15"/>
  <c r="J18" i="15" s="1"/>
  <c r="L18" i="15" s="1"/>
  <c r="M18" i="15" s="1"/>
  <c r="I19" i="15"/>
  <c r="I20" i="15"/>
  <c r="J20" i="15" s="1"/>
  <c r="L20" i="15" s="1"/>
  <c r="M20" i="15" s="1"/>
  <c r="I21" i="15"/>
  <c r="J21" i="15" s="1"/>
  <c r="L21" i="15" s="1"/>
  <c r="M21" i="15" s="1"/>
  <c r="I22" i="15"/>
  <c r="J22" i="15"/>
  <c r="L22" i="15" s="1"/>
  <c r="M22" i="15" s="1"/>
  <c r="I23" i="15"/>
  <c r="I24" i="15"/>
  <c r="J24" i="15" s="1"/>
  <c r="L24" i="15" s="1"/>
  <c r="M24" i="15" s="1"/>
  <c r="I3" i="15"/>
  <c r="I4" i="15"/>
  <c r="I5" i="15"/>
  <c r="I6" i="15"/>
  <c r="I7" i="15"/>
  <c r="J7" i="15" s="1"/>
  <c r="L7" i="15" s="1"/>
  <c r="M7" i="15" s="1"/>
  <c r="I8" i="15"/>
  <c r="I9" i="15"/>
  <c r="I10" i="15"/>
  <c r="I11" i="15"/>
  <c r="J11" i="15" s="1"/>
  <c r="L11" i="15" s="1"/>
  <c r="M11" i="15" s="1"/>
  <c r="I12" i="15"/>
  <c r="I13" i="15"/>
  <c r="I14" i="15"/>
  <c r="I15" i="15"/>
  <c r="J15" i="15" s="1"/>
  <c r="L15" i="15" s="1"/>
  <c r="M15" i="15" s="1"/>
  <c r="I16" i="15"/>
  <c r="J16" i="15" s="1"/>
  <c r="L16" i="15" s="1"/>
  <c r="M16" i="15" s="1"/>
  <c r="G2" i="15"/>
  <c r="F2" i="15"/>
  <c r="J3" i="15" l="1"/>
  <c r="L3" i="15" s="1"/>
  <c r="M3" i="15" s="1"/>
  <c r="K73" i="16"/>
  <c r="M73" i="16"/>
  <c r="G12" i="9" s="1"/>
  <c r="M2" i="16"/>
  <c r="N2" i="16"/>
  <c r="N7" i="16"/>
  <c r="M7" i="16"/>
  <c r="N10" i="16"/>
  <c r="N11" i="16"/>
  <c r="N13" i="16"/>
  <c r="N23" i="16"/>
  <c r="R80" i="16"/>
  <c r="S2" i="16"/>
  <c r="S80" i="16" s="1"/>
  <c r="M6" i="16"/>
  <c r="N6" i="16"/>
  <c r="N9" i="16"/>
  <c r="N17" i="16"/>
  <c r="N19" i="16"/>
  <c r="N22" i="16"/>
  <c r="N24" i="16"/>
  <c r="L35" i="16"/>
  <c r="L36" i="16" s="1"/>
  <c r="L37" i="16" s="1"/>
  <c r="L38" i="16" s="1"/>
  <c r="L39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L70" i="16" s="1"/>
  <c r="L71" i="16" s="1"/>
  <c r="L72" i="16" s="1"/>
  <c r="L73" i="16" s="1"/>
  <c r="L74" i="16" s="1"/>
  <c r="L75" i="16" s="1"/>
  <c r="L76" i="16" s="1"/>
  <c r="L77" i="16" s="1"/>
  <c r="L78" i="16" s="1"/>
  <c r="N78" i="16" s="1"/>
  <c r="N34" i="16"/>
  <c r="M5" i="16"/>
  <c r="N5" i="16"/>
  <c r="N8" i="16"/>
  <c r="N12" i="16"/>
  <c r="M12" i="16"/>
  <c r="M18" i="16"/>
  <c r="G80" i="16"/>
  <c r="M11" i="16"/>
  <c r="M15" i="16"/>
  <c r="M17" i="16"/>
  <c r="M21" i="16"/>
  <c r="N30" i="16"/>
  <c r="M22" i="16"/>
  <c r="N31" i="16"/>
  <c r="M4" i="16"/>
  <c r="M8" i="16"/>
  <c r="K25" i="16"/>
  <c r="N25" i="16" s="1"/>
  <c r="K27" i="16"/>
  <c r="N27" i="16" s="1"/>
  <c r="N29" i="16"/>
  <c r="N41" i="16"/>
  <c r="M49" i="16"/>
  <c r="M55" i="16"/>
  <c r="M67" i="16"/>
  <c r="K3" i="16"/>
  <c r="N33" i="16"/>
  <c r="N35" i="16"/>
  <c r="M43" i="16"/>
  <c r="M45" i="16"/>
  <c r="K56" i="16"/>
  <c r="N56" i="16" s="1"/>
  <c r="M61" i="16"/>
  <c r="M24" i="16"/>
  <c r="K26" i="16"/>
  <c r="N26" i="16" s="1"/>
  <c r="M28" i="16"/>
  <c r="K32" i="16"/>
  <c r="N32" i="16" s="1"/>
  <c r="K36" i="16"/>
  <c r="K38" i="16"/>
  <c r="K42" i="16"/>
  <c r="N42" i="16" s="1"/>
  <c r="K48" i="16"/>
  <c r="K54" i="16"/>
  <c r="M56" i="16"/>
  <c r="K60" i="16"/>
  <c r="N60" i="16" s="1"/>
  <c r="M62" i="16"/>
  <c r="K64" i="16"/>
  <c r="K66" i="16"/>
  <c r="K70" i="16"/>
  <c r="N70" i="16" s="1"/>
  <c r="K76" i="16"/>
  <c r="M78" i="16"/>
  <c r="J23" i="15"/>
  <c r="L23" i="15" s="1"/>
  <c r="M23" i="15" s="1"/>
  <c r="J19" i="15"/>
  <c r="L19" i="15" s="1"/>
  <c r="M19" i="15" s="1"/>
  <c r="J8" i="15"/>
  <c r="L8" i="15" s="1"/>
  <c r="M8" i="15" s="1"/>
  <c r="J9" i="15"/>
  <c r="L9" i="15" s="1"/>
  <c r="M9" i="15" s="1"/>
  <c r="J14" i="15"/>
  <c r="L14" i="15" s="1"/>
  <c r="M14" i="15" s="1"/>
  <c r="J13" i="15"/>
  <c r="L13" i="15" s="1"/>
  <c r="M13" i="15" s="1"/>
  <c r="J12" i="15"/>
  <c r="L12" i="15" s="1"/>
  <c r="M12" i="15" s="1"/>
  <c r="J10" i="15"/>
  <c r="L10" i="15" s="1"/>
  <c r="M10" i="15" s="1"/>
  <c r="J6" i="15"/>
  <c r="L6" i="15" s="1"/>
  <c r="M6" i="15" s="1"/>
  <c r="J5" i="15"/>
  <c r="L5" i="15" s="1"/>
  <c r="M5" i="15" s="1"/>
  <c r="J4" i="15"/>
  <c r="L4" i="15" s="1"/>
  <c r="M4" i="15" s="1"/>
  <c r="H4" i="9" l="1"/>
  <c r="H3" i="9"/>
  <c r="H5" i="9"/>
  <c r="N77" i="16"/>
  <c r="N65" i="16"/>
  <c r="N67" i="16"/>
  <c r="N45" i="16"/>
  <c r="N72" i="16"/>
  <c r="N66" i="16"/>
  <c r="N38" i="16"/>
  <c r="N71" i="16"/>
  <c r="N37" i="16"/>
  <c r="N59" i="16"/>
  <c r="N39" i="16"/>
  <c r="N61" i="16"/>
  <c r="N43" i="16"/>
  <c r="N49" i="16"/>
  <c r="N62" i="16"/>
  <c r="N68" i="16"/>
  <c r="N40" i="16"/>
  <c r="N46" i="16"/>
  <c r="N64" i="16"/>
  <c r="N36" i="16"/>
  <c r="H6" i="9" s="1"/>
  <c r="N44" i="16"/>
  <c r="N3" i="16"/>
  <c r="H2" i="9" s="1"/>
  <c r="M3" i="16"/>
  <c r="N73" i="16"/>
  <c r="N53" i="16"/>
  <c r="N52" i="16"/>
  <c r="K80" i="16"/>
  <c r="N55" i="16"/>
  <c r="N63" i="16"/>
  <c r="N74" i="16"/>
  <c r="N54" i="16"/>
  <c r="N76" i="16"/>
  <c r="N48" i="16"/>
  <c r="N58" i="16"/>
  <c r="N57" i="16"/>
  <c r="N69" i="16"/>
  <c r="N75" i="16"/>
  <c r="N47" i="16"/>
  <c r="N50" i="16"/>
  <c r="N51" i="16"/>
  <c r="C26" i="15"/>
  <c r="B6" i="5" s="1"/>
  <c r="I2" i="15"/>
  <c r="K10" i="13"/>
  <c r="M10" i="13" s="1"/>
  <c r="N10" i="13" s="1"/>
  <c r="J3" i="13"/>
  <c r="J4" i="13"/>
  <c r="K4" i="13" s="1"/>
  <c r="M4" i="13" s="1"/>
  <c r="N4" i="13" s="1"/>
  <c r="J5" i="13"/>
  <c r="K5" i="13" s="1"/>
  <c r="M5" i="13" s="1"/>
  <c r="N5" i="13" s="1"/>
  <c r="J6" i="13"/>
  <c r="J7" i="13"/>
  <c r="K7" i="13" s="1"/>
  <c r="M7" i="13" s="1"/>
  <c r="N7" i="13" s="1"/>
  <c r="J8" i="13"/>
  <c r="K8" i="13" s="1"/>
  <c r="M8" i="13" s="1"/>
  <c r="N8" i="13" s="1"/>
  <c r="J9" i="13"/>
  <c r="K9" i="13" s="1"/>
  <c r="M9" i="13" s="1"/>
  <c r="N9" i="13" s="1"/>
  <c r="J10" i="13"/>
  <c r="J11" i="13"/>
  <c r="K11" i="13" s="1"/>
  <c r="M11" i="13" s="1"/>
  <c r="N11" i="13" s="1"/>
  <c r="J12" i="13"/>
  <c r="K12" i="13" s="1"/>
  <c r="J2" i="13"/>
  <c r="M4" i="9"/>
  <c r="M5" i="9"/>
  <c r="M6" i="9"/>
  <c r="M7" i="9"/>
  <c r="M8" i="9"/>
  <c r="M9" i="9"/>
  <c r="M10" i="9"/>
  <c r="M11" i="9"/>
  <c r="M12" i="9"/>
  <c r="L4" i="9"/>
  <c r="L5" i="9"/>
  <c r="L6" i="9"/>
  <c r="L7" i="9"/>
  <c r="L8" i="9"/>
  <c r="L9" i="9"/>
  <c r="L10" i="9"/>
  <c r="L11" i="9"/>
  <c r="L12" i="9"/>
  <c r="K4" i="9"/>
  <c r="K5" i="9"/>
  <c r="K6" i="9"/>
  <c r="K7" i="9"/>
  <c r="K8" i="9"/>
  <c r="K9" i="9"/>
  <c r="K10" i="9"/>
  <c r="K11" i="9"/>
  <c r="K12" i="9"/>
  <c r="J3" i="9"/>
  <c r="K3" i="9" s="1"/>
  <c r="L3" i="9" s="1"/>
  <c r="J4" i="9"/>
  <c r="J5" i="9"/>
  <c r="J6" i="9"/>
  <c r="J7" i="9"/>
  <c r="J8" i="9"/>
  <c r="J9" i="9"/>
  <c r="J10" i="9"/>
  <c r="J11" i="9"/>
  <c r="J12" i="9"/>
  <c r="J2" i="9"/>
  <c r="K2" i="9" s="1"/>
  <c r="L2" i="9" s="1"/>
  <c r="M2" i="9" s="1"/>
  <c r="D14" i="13"/>
  <c r="B7" i="5" s="1"/>
  <c r="G15" i="6" s="1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H4" i="13"/>
  <c r="G4" i="13"/>
  <c r="H3" i="13"/>
  <c r="G3" i="13"/>
  <c r="H2" i="13"/>
  <c r="G2" i="13"/>
  <c r="E3" i="12"/>
  <c r="F3" i="12" s="1"/>
  <c r="E4" i="12"/>
  <c r="F4" i="12" s="1"/>
  <c r="E5" i="12"/>
  <c r="F5" i="12" s="1"/>
  <c r="E6" i="12"/>
  <c r="F6" i="12" s="1"/>
  <c r="E7" i="12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E24" i="12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111" i="12"/>
  <c r="E112" i="12"/>
  <c r="F112" i="12" s="1"/>
  <c r="E113" i="12"/>
  <c r="F113" i="12" s="1"/>
  <c r="E114" i="12"/>
  <c r="F114" i="12" s="1"/>
  <c r="E115" i="12"/>
  <c r="F115" i="12" s="1"/>
  <c r="E116" i="12"/>
  <c r="F116" i="12" s="1"/>
  <c r="E117" i="12"/>
  <c r="F117" i="12" s="1"/>
  <c r="E118" i="12"/>
  <c r="F118" i="12" s="1"/>
  <c r="E119" i="12"/>
  <c r="E120" i="12"/>
  <c r="F120" i="12" s="1"/>
  <c r="E121" i="12"/>
  <c r="F121" i="12" s="1"/>
  <c r="E122" i="12"/>
  <c r="F122" i="12" s="1"/>
  <c r="E123" i="12"/>
  <c r="F123" i="12" s="1"/>
  <c r="E124" i="12"/>
  <c r="F124" i="12" s="1"/>
  <c r="E125" i="12"/>
  <c r="F125" i="12" s="1"/>
  <c r="E126" i="12"/>
  <c r="F126" i="12" s="1"/>
  <c r="E127" i="12"/>
  <c r="E128" i="12"/>
  <c r="F128" i="12" s="1"/>
  <c r="E129" i="12"/>
  <c r="F129" i="12" s="1"/>
  <c r="E130" i="12"/>
  <c r="F130" i="12" s="1"/>
  <c r="E131" i="12"/>
  <c r="F131" i="12" s="1"/>
  <c r="E132" i="12"/>
  <c r="F132" i="12" s="1"/>
  <c r="E133" i="12"/>
  <c r="F133" i="12" s="1"/>
  <c r="E134" i="12"/>
  <c r="F134" i="12" s="1"/>
  <c r="E135" i="12"/>
  <c r="F135" i="12" s="1"/>
  <c r="E136" i="12"/>
  <c r="F136" i="12" s="1"/>
  <c r="E137" i="12"/>
  <c r="F137" i="12" s="1"/>
  <c r="E138" i="12"/>
  <c r="F138" i="12" s="1"/>
  <c r="E139" i="12"/>
  <c r="F139" i="12" s="1"/>
  <c r="E140" i="12"/>
  <c r="F140" i="12" s="1"/>
  <c r="E141" i="12"/>
  <c r="F141" i="12" s="1"/>
  <c r="E142" i="12"/>
  <c r="F142" i="12" s="1"/>
  <c r="E143" i="12"/>
  <c r="F143" i="12" s="1"/>
  <c r="E144" i="12"/>
  <c r="F144" i="12" s="1"/>
  <c r="E145" i="12"/>
  <c r="F145" i="12" s="1"/>
  <c r="E146" i="12"/>
  <c r="F146" i="12" s="1"/>
  <c r="E147" i="12"/>
  <c r="F147" i="12" s="1"/>
  <c r="E148" i="12"/>
  <c r="F148" i="12" s="1"/>
  <c r="E149" i="12"/>
  <c r="F149" i="12" s="1"/>
  <c r="E150" i="12"/>
  <c r="F150" i="12" s="1"/>
  <c r="E151" i="12"/>
  <c r="F151" i="12" s="1"/>
  <c r="E152" i="12"/>
  <c r="F152" i="12" s="1"/>
  <c r="E153" i="12"/>
  <c r="F153" i="12" s="1"/>
  <c r="E154" i="12"/>
  <c r="F154" i="12" s="1"/>
  <c r="E155" i="12"/>
  <c r="F155" i="12" s="1"/>
  <c r="E156" i="12"/>
  <c r="F156" i="12" s="1"/>
  <c r="E157" i="12"/>
  <c r="F157" i="12" s="1"/>
  <c r="E158" i="12"/>
  <c r="F158" i="12" s="1"/>
  <c r="E159" i="12"/>
  <c r="E160" i="12"/>
  <c r="F160" i="12" s="1"/>
  <c r="E161" i="12"/>
  <c r="F161" i="12" s="1"/>
  <c r="E162" i="12"/>
  <c r="F162" i="12" s="1"/>
  <c r="E163" i="12"/>
  <c r="F163" i="12" s="1"/>
  <c r="E164" i="12"/>
  <c r="F164" i="12" s="1"/>
  <c r="E165" i="12"/>
  <c r="F165" i="12" s="1"/>
  <c r="E166" i="12"/>
  <c r="F166" i="12" s="1"/>
  <c r="E167" i="12"/>
  <c r="E168" i="12"/>
  <c r="F168" i="12" s="1"/>
  <c r="E169" i="12"/>
  <c r="F169" i="12" s="1"/>
  <c r="E170" i="12"/>
  <c r="F170" i="12" s="1"/>
  <c r="E171" i="12"/>
  <c r="F171" i="12" s="1"/>
  <c r="E172" i="12"/>
  <c r="F172" i="12" s="1"/>
  <c r="E173" i="12"/>
  <c r="F173" i="12" s="1"/>
  <c r="E174" i="12"/>
  <c r="F174" i="12" s="1"/>
  <c r="E175" i="12"/>
  <c r="F175" i="12" s="1"/>
  <c r="E176" i="12"/>
  <c r="F176" i="12" s="1"/>
  <c r="E177" i="12"/>
  <c r="F177" i="12" s="1"/>
  <c r="E178" i="12"/>
  <c r="F178" i="12" s="1"/>
  <c r="E179" i="12"/>
  <c r="F179" i="12" s="1"/>
  <c r="E180" i="12"/>
  <c r="F180" i="12" s="1"/>
  <c r="E181" i="12"/>
  <c r="F181" i="12" s="1"/>
  <c r="E182" i="12"/>
  <c r="F182" i="12" s="1"/>
  <c r="E183" i="12"/>
  <c r="E184" i="12"/>
  <c r="F184" i="12" s="1"/>
  <c r="E185" i="12"/>
  <c r="F185" i="12" s="1"/>
  <c r="E186" i="12"/>
  <c r="F186" i="12" s="1"/>
  <c r="E187" i="12"/>
  <c r="F187" i="12" s="1"/>
  <c r="E188" i="12"/>
  <c r="F188" i="12" s="1"/>
  <c r="E189" i="12"/>
  <c r="F189" i="12" s="1"/>
  <c r="E190" i="12"/>
  <c r="F190" i="12" s="1"/>
  <c r="E191" i="12"/>
  <c r="E192" i="12"/>
  <c r="F192" i="12" s="1"/>
  <c r="E193" i="12"/>
  <c r="F193" i="12" s="1"/>
  <c r="E194" i="12"/>
  <c r="F194" i="12" s="1"/>
  <c r="E195" i="12"/>
  <c r="F195" i="12" s="1"/>
  <c r="E196" i="12"/>
  <c r="F196" i="12" s="1"/>
  <c r="E197" i="12"/>
  <c r="F197" i="12" s="1"/>
  <c r="E198" i="12"/>
  <c r="F198" i="12" s="1"/>
  <c r="E199" i="12"/>
  <c r="F199" i="12" s="1"/>
  <c r="E200" i="12"/>
  <c r="F200" i="12" s="1"/>
  <c r="E201" i="12"/>
  <c r="F201" i="12" s="1"/>
  <c r="E2" i="12"/>
  <c r="F2" i="12" s="1"/>
  <c r="I2" i="12" s="1"/>
  <c r="L201" i="12"/>
  <c r="L200" i="12"/>
  <c r="L199" i="12"/>
  <c r="P199" i="12"/>
  <c r="Q199" i="12" s="1"/>
  <c r="L198" i="12"/>
  <c r="P198" i="12"/>
  <c r="Q198" i="12" s="1"/>
  <c r="L197" i="12"/>
  <c r="P197" i="12"/>
  <c r="Q197" i="12" s="1"/>
  <c r="L196" i="12"/>
  <c r="L195" i="12"/>
  <c r="P195" i="12"/>
  <c r="Q195" i="12" s="1"/>
  <c r="L194" i="12"/>
  <c r="P194" i="12"/>
  <c r="Q194" i="12" s="1"/>
  <c r="L193" i="12"/>
  <c r="P193" i="12"/>
  <c r="Q193" i="12" s="1"/>
  <c r="L192" i="12"/>
  <c r="P192" i="12"/>
  <c r="Q192" i="12" s="1"/>
  <c r="L191" i="12"/>
  <c r="P191" i="12"/>
  <c r="Q191" i="12" s="1"/>
  <c r="F191" i="12"/>
  <c r="L190" i="12"/>
  <c r="L189" i="12"/>
  <c r="P189" i="12"/>
  <c r="Q189" i="12" s="1"/>
  <c r="L188" i="12"/>
  <c r="P188" i="12"/>
  <c r="Q188" i="12" s="1"/>
  <c r="L187" i="12"/>
  <c r="L186" i="12"/>
  <c r="L185" i="12"/>
  <c r="P185" i="12"/>
  <c r="Q185" i="12" s="1"/>
  <c r="L184" i="12"/>
  <c r="P184" i="12"/>
  <c r="Q184" i="12" s="1"/>
  <c r="L183" i="12"/>
  <c r="P183" i="12"/>
  <c r="Q183" i="12" s="1"/>
  <c r="F183" i="12"/>
  <c r="L182" i="12"/>
  <c r="P182" i="12"/>
  <c r="Q182" i="12" s="1"/>
  <c r="L181" i="12"/>
  <c r="P181" i="12"/>
  <c r="Q181" i="12" s="1"/>
  <c r="L180" i="12"/>
  <c r="P180" i="12"/>
  <c r="Q180" i="12" s="1"/>
  <c r="L179" i="12"/>
  <c r="P179" i="12"/>
  <c r="Q179" i="12" s="1"/>
  <c r="L178" i="12"/>
  <c r="P178" i="12"/>
  <c r="Q178" i="12" s="1"/>
  <c r="L177" i="12"/>
  <c r="P177" i="12"/>
  <c r="Q177" i="12" s="1"/>
  <c r="L176" i="12"/>
  <c r="L175" i="12"/>
  <c r="L174" i="12"/>
  <c r="L173" i="12"/>
  <c r="P173" i="12"/>
  <c r="Q173" i="12" s="1"/>
  <c r="L172" i="12"/>
  <c r="P172" i="12"/>
  <c r="Q172" i="12" s="1"/>
  <c r="L171" i="12"/>
  <c r="P171" i="12"/>
  <c r="Q171" i="12" s="1"/>
  <c r="L170" i="12"/>
  <c r="P170" i="12"/>
  <c r="Q170" i="12" s="1"/>
  <c r="L169" i="12"/>
  <c r="L168" i="12"/>
  <c r="L167" i="12"/>
  <c r="P167" i="12"/>
  <c r="Q167" i="12" s="1"/>
  <c r="F167" i="12"/>
  <c r="L166" i="12"/>
  <c r="P166" i="12"/>
  <c r="Q166" i="12" s="1"/>
  <c r="L165" i="12"/>
  <c r="P165" i="12"/>
  <c r="Q165" i="12" s="1"/>
  <c r="L164" i="12"/>
  <c r="L163" i="12"/>
  <c r="P163" i="12"/>
  <c r="Q163" i="12" s="1"/>
  <c r="L162" i="12"/>
  <c r="L161" i="12"/>
  <c r="P161" i="12"/>
  <c r="Q161" i="12" s="1"/>
  <c r="L160" i="12"/>
  <c r="P160" i="12"/>
  <c r="Q160" i="12" s="1"/>
  <c r="L159" i="12"/>
  <c r="P159" i="12"/>
  <c r="Q159" i="12" s="1"/>
  <c r="F159" i="12"/>
  <c r="L158" i="12"/>
  <c r="L157" i="12"/>
  <c r="P157" i="12"/>
  <c r="Q157" i="12" s="1"/>
  <c r="L156" i="12"/>
  <c r="L155" i="12"/>
  <c r="P155" i="12"/>
  <c r="Q155" i="12" s="1"/>
  <c r="L154" i="12"/>
  <c r="P154" i="12"/>
  <c r="Q154" i="12" s="1"/>
  <c r="L153" i="12"/>
  <c r="P153" i="12"/>
  <c r="Q153" i="12" s="1"/>
  <c r="L152" i="12"/>
  <c r="L151" i="12"/>
  <c r="P151" i="12"/>
  <c r="Q151" i="12" s="1"/>
  <c r="L150" i="12"/>
  <c r="P150" i="12"/>
  <c r="Q150" i="12" s="1"/>
  <c r="L149" i="12"/>
  <c r="P149" i="12"/>
  <c r="Q149" i="12" s="1"/>
  <c r="L148" i="12"/>
  <c r="P148" i="12"/>
  <c r="Q148" i="12" s="1"/>
  <c r="L147" i="12"/>
  <c r="P147" i="12"/>
  <c r="Q147" i="12" s="1"/>
  <c r="L146" i="12"/>
  <c r="P146" i="12"/>
  <c r="Q146" i="12" s="1"/>
  <c r="L145" i="12"/>
  <c r="L144" i="12"/>
  <c r="L143" i="12"/>
  <c r="L142" i="12"/>
  <c r="P142" i="12"/>
  <c r="Q142" i="12" s="1"/>
  <c r="L141" i="12"/>
  <c r="L140" i="12"/>
  <c r="P140" i="12"/>
  <c r="Q140" i="12" s="1"/>
  <c r="L139" i="12"/>
  <c r="L138" i="12"/>
  <c r="L137" i="12"/>
  <c r="L136" i="12"/>
  <c r="P136" i="12"/>
  <c r="Q136" i="12" s="1"/>
  <c r="L135" i="12"/>
  <c r="P135" i="12"/>
  <c r="Q135" i="12" s="1"/>
  <c r="L134" i="12"/>
  <c r="L133" i="12"/>
  <c r="P133" i="12"/>
  <c r="Q133" i="12" s="1"/>
  <c r="L132" i="12"/>
  <c r="L131" i="12"/>
  <c r="P131" i="12"/>
  <c r="Q131" i="12" s="1"/>
  <c r="L130" i="12"/>
  <c r="P130" i="12"/>
  <c r="Q130" i="12" s="1"/>
  <c r="L129" i="12"/>
  <c r="P129" i="12"/>
  <c r="Q129" i="12" s="1"/>
  <c r="L128" i="12"/>
  <c r="P128" i="12"/>
  <c r="Q128" i="12" s="1"/>
  <c r="L127" i="12"/>
  <c r="P127" i="12"/>
  <c r="Q127" i="12" s="1"/>
  <c r="F127" i="12"/>
  <c r="L126" i="12"/>
  <c r="L125" i="12"/>
  <c r="P125" i="12"/>
  <c r="Q125" i="12" s="1"/>
  <c r="L124" i="12"/>
  <c r="P124" i="12"/>
  <c r="Q124" i="12" s="1"/>
  <c r="L123" i="12"/>
  <c r="P123" i="12"/>
  <c r="Q123" i="12" s="1"/>
  <c r="L122" i="12"/>
  <c r="P122" i="12"/>
  <c r="Q122" i="12" s="1"/>
  <c r="L121" i="12"/>
  <c r="P121" i="12"/>
  <c r="Q121" i="12" s="1"/>
  <c r="L120" i="12"/>
  <c r="L119" i="12"/>
  <c r="P119" i="12"/>
  <c r="Q119" i="12" s="1"/>
  <c r="F119" i="12"/>
  <c r="L118" i="12"/>
  <c r="P118" i="12"/>
  <c r="Q118" i="12" s="1"/>
  <c r="L117" i="12"/>
  <c r="P117" i="12"/>
  <c r="Q117" i="12" s="1"/>
  <c r="L116" i="12"/>
  <c r="L115" i="12"/>
  <c r="P115" i="12"/>
  <c r="Q115" i="12" s="1"/>
  <c r="L114" i="12"/>
  <c r="P114" i="12"/>
  <c r="Q114" i="12" s="1"/>
  <c r="L113" i="12"/>
  <c r="P113" i="12"/>
  <c r="Q113" i="12" s="1"/>
  <c r="L112" i="12"/>
  <c r="L111" i="12"/>
  <c r="P111" i="12"/>
  <c r="Q111" i="12" s="1"/>
  <c r="F111" i="12"/>
  <c r="L110" i="12"/>
  <c r="P110" i="12"/>
  <c r="Q110" i="12" s="1"/>
  <c r="L109" i="12"/>
  <c r="P109" i="12"/>
  <c r="Q109" i="12" s="1"/>
  <c r="L108" i="12"/>
  <c r="P108" i="12"/>
  <c r="Q108" i="12" s="1"/>
  <c r="L107" i="12"/>
  <c r="P107" i="12"/>
  <c r="Q107" i="12" s="1"/>
  <c r="L106" i="12"/>
  <c r="P106" i="12"/>
  <c r="Q106" i="12" s="1"/>
  <c r="L105" i="12"/>
  <c r="P105" i="12"/>
  <c r="Q105" i="12" s="1"/>
  <c r="L104" i="12"/>
  <c r="P104" i="12"/>
  <c r="Q104" i="12" s="1"/>
  <c r="L103" i="12"/>
  <c r="P103" i="12"/>
  <c r="Q103" i="12" s="1"/>
  <c r="F103" i="12"/>
  <c r="L102" i="12"/>
  <c r="P102" i="12"/>
  <c r="Q102" i="12" s="1"/>
  <c r="L101" i="12"/>
  <c r="P101" i="12"/>
  <c r="Q101" i="12" s="1"/>
  <c r="L100" i="12"/>
  <c r="P100" i="12"/>
  <c r="Q100" i="12" s="1"/>
  <c r="L99" i="12"/>
  <c r="P99" i="12"/>
  <c r="Q99" i="12" s="1"/>
  <c r="L98" i="12"/>
  <c r="P98" i="12"/>
  <c r="Q98" i="12" s="1"/>
  <c r="L97" i="12"/>
  <c r="P97" i="12"/>
  <c r="Q97" i="12" s="1"/>
  <c r="L96" i="12"/>
  <c r="P96" i="12"/>
  <c r="Q96" i="12" s="1"/>
  <c r="L95" i="12"/>
  <c r="P95" i="12"/>
  <c r="Q95" i="12" s="1"/>
  <c r="F95" i="12"/>
  <c r="L94" i="12"/>
  <c r="P94" i="12"/>
  <c r="Q94" i="12" s="1"/>
  <c r="L93" i="12"/>
  <c r="P93" i="12"/>
  <c r="Q93" i="12" s="1"/>
  <c r="L92" i="12"/>
  <c r="P92" i="12"/>
  <c r="Q92" i="12" s="1"/>
  <c r="L91" i="12"/>
  <c r="P91" i="12"/>
  <c r="Q91" i="12" s="1"/>
  <c r="L90" i="12"/>
  <c r="P90" i="12"/>
  <c r="Q90" i="12" s="1"/>
  <c r="L89" i="12"/>
  <c r="P89" i="12"/>
  <c r="Q89" i="12" s="1"/>
  <c r="L88" i="12"/>
  <c r="P88" i="12"/>
  <c r="Q88" i="12" s="1"/>
  <c r="L87" i="12"/>
  <c r="P87" i="12"/>
  <c r="Q87" i="12" s="1"/>
  <c r="F87" i="12"/>
  <c r="L86" i="12"/>
  <c r="P86" i="12"/>
  <c r="Q86" i="12" s="1"/>
  <c r="L85" i="12"/>
  <c r="P85" i="12"/>
  <c r="Q85" i="12" s="1"/>
  <c r="L84" i="12"/>
  <c r="P84" i="12"/>
  <c r="Q84" i="12" s="1"/>
  <c r="L83" i="12"/>
  <c r="P83" i="12"/>
  <c r="Q83" i="12" s="1"/>
  <c r="L82" i="12"/>
  <c r="P82" i="12"/>
  <c r="Q82" i="12" s="1"/>
  <c r="L81" i="12"/>
  <c r="P81" i="12"/>
  <c r="Q81" i="12" s="1"/>
  <c r="L80" i="12"/>
  <c r="P80" i="12"/>
  <c r="Q80" i="12" s="1"/>
  <c r="L79" i="12"/>
  <c r="P79" i="12"/>
  <c r="Q79" i="12" s="1"/>
  <c r="F79" i="12"/>
  <c r="L78" i="12"/>
  <c r="P78" i="12"/>
  <c r="Q78" i="12" s="1"/>
  <c r="L77" i="12"/>
  <c r="P77" i="12"/>
  <c r="Q77" i="12" s="1"/>
  <c r="L76" i="12"/>
  <c r="P76" i="12"/>
  <c r="Q76" i="12" s="1"/>
  <c r="L75" i="12"/>
  <c r="P75" i="12"/>
  <c r="Q75" i="12" s="1"/>
  <c r="L74" i="12"/>
  <c r="P74" i="12"/>
  <c r="Q74" i="12" s="1"/>
  <c r="L73" i="12"/>
  <c r="P73" i="12"/>
  <c r="Q73" i="12" s="1"/>
  <c r="L72" i="12"/>
  <c r="P72" i="12"/>
  <c r="Q72" i="12" s="1"/>
  <c r="L71" i="12"/>
  <c r="P71" i="12"/>
  <c r="Q71" i="12" s="1"/>
  <c r="F71" i="12"/>
  <c r="L70" i="12"/>
  <c r="P70" i="12"/>
  <c r="Q70" i="12" s="1"/>
  <c r="L69" i="12"/>
  <c r="P69" i="12"/>
  <c r="Q69" i="12" s="1"/>
  <c r="L68" i="12"/>
  <c r="P68" i="12"/>
  <c r="Q68" i="12" s="1"/>
  <c r="L67" i="12"/>
  <c r="P67" i="12"/>
  <c r="Q67" i="12" s="1"/>
  <c r="L66" i="12"/>
  <c r="P66" i="12"/>
  <c r="Q66" i="12" s="1"/>
  <c r="L65" i="12"/>
  <c r="P65" i="12"/>
  <c r="Q65" i="12" s="1"/>
  <c r="L64" i="12"/>
  <c r="P64" i="12"/>
  <c r="Q64" i="12" s="1"/>
  <c r="L63" i="12"/>
  <c r="P63" i="12"/>
  <c r="Q63" i="12" s="1"/>
  <c r="F63" i="12"/>
  <c r="L62" i="12"/>
  <c r="P62" i="12"/>
  <c r="Q62" i="12" s="1"/>
  <c r="L61" i="12"/>
  <c r="P61" i="12"/>
  <c r="Q61" i="12" s="1"/>
  <c r="L60" i="12"/>
  <c r="P60" i="12"/>
  <c r="Q60" i="12" s="1"/>
  <c r="L59" i="12"/>
  <c r="P59" i="12"/>
  <c r="Q59" i="12" s="1"/>
  <c r="L58" i="12"/>
  <c r="P58" i="12"/>
  <c r="Q58" i="12" s="1"/>
  <c r="L57" i="12"/>
  <c r="P57" i="12"/>
  <c r="Q57" i="12" s="1"/>
  <c r="L56" i="12"/>
  <c r="P56" i="12"/>
  <c r="Q56" i="12" s="1"/>
  <c r="L55" i="12"/>
  <c r="P55" i="12"/>
  <c r="Q55" i="12" s="1"/>
  <c r="F55" i="12"/>
  <c r="L54" i="12"/>
  <c r="P54" i="12"/>
  <c r="Q54" i="12" s="1"/>
  <c r="L53" i="12"/>
  <c r="P53" i="12"/>
  <c r="Q53" i="12" s="1"/>
  <c r="L52" i="12"/>
  <c r="P52" i="12"/>
  <c r="Q52" i="12" s="1"/>
  <c r="L51" i="12"/>
  <c r="P51" i="12"/>
  <c r="Q51" i="12" s="1"/>
  <c r="L50" i="12"/>
  <c r="P50" i="12"/>
  <c r="Q50" i="12" s="1"/>
  <c r="L49" i="12"/>
  <c r="P49" i="12"/>
  <c r="Q49" i="12" s="1"/>
  <c r="L48" i="12"/>
  <c r="P48" i="12"/>
  <c r="Q48" i="12" s="1"/>
  <c r="L47" i="12"/>
  <c r="P47" i="12"/>
  <c r="Q47" i="12" s="1"/>
  <c r="F47" i="12"/>
  <c r="L46" i="12"/>
  <c r="P46" i="12"/>
  <c r="Q46" i="12" s="1"/>
  <c r="L45" i="12"/>
  <c r="P45" i="12"/>
  <c r="Q45" i="12" s="1"/>
  <c r="L44" i="12"/>
  <c r="P44" i="12"/>
  <c r="Q44" i="12" s="1"/>
  <c r="L43" i="12"/>
  <c r="P43" i="12"/>
  <c r="Q43" i="12" s="1"/>
  <c r="L42" i="12"/>
  <c r="P42" i="12"/>
  <c r="Q42" i="12" s="1"/>
  <c r="L41" i="12"/>
  <c r="P41" i="12"/>
  <c r="Q41" i="12" s="1"/>
  <c r="L40" i="12"/>
  <c r="P40" i="12"/>
  <c r="Q40" i="12" s="1"/>
  <c r="L39" i="12"/>
  <c r="P39" i="12"/>
  <c r="Q39" i="12" s="1"/>
  <c r="F39" i="12"/>
  <c r="L38" i="12"/>
  <c r="P38" i="12"/>
  <c r="Q38" i="12" s="1"/>
  <c r="L37" i="12"/>
  <c r="P37" i="12"/>
  <c r="Q37" i="12" s="1"/>
  <c r="L36" i="12"/>
  <c r="P36" i="12"/>
  <c r="Q36" i="12" s="1"/>
  <c r="L35" i="12"/>
  <c r="P35" i="12"/>
  <c r="Q35" i="12" s="1"/>
  <c r="L34" i="12"/>
  <c r="P34" i="12"/>
  <c r="Q34" i="12" s="1"/>
  <c r="L33" i="12"/>
  <c r="P33" i="12"/>
  <c r="Q33" i="12" s="1"/>
  <c r="L32" i="12"/>
  <c r="P32" i="12"/>
  <c r="Q32" i="12" s="1"/>
  <c r="L31" i="12"/>
  <c r="P31" i="12"/>
  <c r="Q31" i="12" s="1"/>
  <c r="F31" i="12"/>
  <c r="L30" i="12"/>
  <c r="P30" i="12"/>
  <c r="Q30" i="12" s="1"/>
  <c r="L29" i="12"/>
  <c r="L28" i="12"/>
  <c r="P28" i="12"/>
  <c r="Q28" i="12" s="1"/>
  <c r="L27" i="12"/>
  <c r="L26" i="12"/>
  <c r="P26" i="12"/>
  <c r="Q26" i="12" s="1"/>
  <c r="L25" i="12"/>
  <c r="P25" i="12"/>
  <c r="Q25" i="12" s="1"/>
  <c r="L24" i="12"/>
  <c r="P24" i="12"/>
  <c r="Q24" i="12" s="1"/>
  <c r="F24" i="12"/>
  <c r="L23" i="12"/>
  <c r="P23" i="12"/>
  <c r="Q23" i="12" s="1"/>
  <c r="F23" i="12"/>
  <c r="L22" i="12"/>
  <c r="P22" i="12"/>
  <c r="Q22" i="12" s="1"/>
  <c r="L21" i="12"/>
  <c r="L20" i="12"/>
  <c r="P20" i="12"/>
  <c r="Q20" i="12" s="1"/>
  <c r="L19" i="12"/>
  <c r="L18" i="12"/>
  <c r="P18" i="12"/>
  <c r="Q18" i="12" s="1"/>
  <c r="L17" i="12"/>
  <c r="P17" i="12"/>
  <c r="Q17" i="12" s="1"/>
  <c r="L16" i="12"/>
  <c r="P16" i="12"/>
  <c r="Q16" i="12" s="1"/>
  <c r="L15" i="12"/>
  <c r="P15" i="12"/>
  <c r="Q15" i="12" s="1"/>
  <c r="F15" i="12"/>
  <c r="L14" i="12"/>
  <c r="P14" i="12"/>
  <c r="Q14" i="12" s="1"/>
  <c r="L13" i="12"/>
  <c r="L12" i="12"/>
  <c r="P12" i="12"/>
  <c r="Q12" i="12" s="1"/>
  <c r="L11" i="12"/>
  <c r="L10" i="12"/>
  <c r="L9" i="12"/>
  <c r="P9" i="12"/>
  <c r="Q9" i="12" s="1"/>
  <c r="L8" i="12"/>
  <c r="P8" i="12"/>
  <c r="Q8" i="12" s="1"/>
  <c r="L7" i="12"/>
  <c r="P7" i="12"/>
  <c r="Q7" i="12" s="1"/>
  <c r="F7" i="12"/>
  <c r="L6" i="12"/>
  <c r="P6" i="12"/>
  <c r="Q6" i="12" s="1"/>
  <c r="L5" i="12"/>
  <c r="L4" i="12"/>
  <c r="P4" i="12"/>
  <c r="Q4" i="12" s="1"/>
  <c r="L3" i="12"/>
  <c r="P3" i="12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6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237" i="10"/>
  <c r="R238" i="10"/>
  <c r="R239" i="10"/>
  <c r="R240" i="10"/>
  <c r="R241" i="10"/>
  <c r="R242" i="10"/>
  <c r="R243" i="10"/>
  <c r="R244" i="10"/>
  <c r="R245" i="10"/>
  <c r="R246" i="10"/>
  <c r="R247" i="10"/>
  <c r="R248" i="10"/>
  <c r="R249" i="10"/>
  <c r="R250" i="10"/>
  <c r="R2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96" i="10"/>
  <c r="P197" i="10"/>
  <c r="P198" i="10"/>
  <c r="P199" i="10"/>
  <c r="P200" i="10"/>
  <c r="P201" i="10"/>
  <c r="P202" i="10"/>
  <c r="P203" i="10"/>
  <c r="P204" i="10"/>
  <c r="P205" i="10"/>
  <c r="P206" i="10"/>
  <c r="P207" i="10"/>
  <c r="P208" i="10"/>
  <c r="P209" i="10"/>
  <c r="P210" i="10"/>
  <c r="P211" i="10"/>
  <c r="P212" i="10"/>
  <c r="P213" i="10"/>
  <c r="P214" i="10"/>
  <c r="P215" i="10"/>
  <c r="P216" i="10"/>
  <c r="P217" i="10"/>
  <c r="P218" i="10"/>
  <c r="P219" i="10"/>
  <c r="P220" i="10"/>
  <c r="P221" i="10"/>
  <c r="P222" i="10"/>
  <c r="P223" i="10"/>
  <c r="P224" i="10"/>
  <c r="P225" i="10"/>
  <c r="P226" i="10"/>
  <c r="P227" i="10"/>
  <c r="P228" i="10"/>
  <c r="P229" i="10"/>
  <c r="P230" i="10"/>
  <c r="P231" i="10"/>
  <c r="P232" i="10"/>
  <c r="P233" i="10"/>
  <c r="P234" i="10"/>
  <c r="P235" i="10"/>
  <c r="P236" i="10"/>
  <c r="P237" i="10"/>
  <c r="P238" i="10"/>
  <c r="P239" i="10"/>
  <c r="P240" i="10"/>
  <c r="P241" i="10"/>
  <c r="P242" i="10"/>
  <c r="P243" i="10"/>
  <c r="P244" i="10"/>
  <c r="P245" i="10"/>
  <c r="P246" i="10"/>
  <c r="P247" i="10"/>
  <c r="P248" i="10"/>
  <c r="P249" i="10"/>
  <c r="P250" i="10"/>
  <c r="P2" i="10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O151" i="10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O165" i="10"/>
  <c r="O166" i="10"/>
  <c r="O167" i="10"/>
  <c r="O168" i="10"/>
  <c r="O169" i="10"/>
  <c r="O170" i="10"/>
  <c r="O171" i="10"/>
  <c r="O172" i="10"/>
  <c r="O173" i="10"/>
  <c r="O174" i="10"/>
  <c r="O175" i="10"/>
  <c r="O176" i="10"/>
  <c r="O177" i="10"/>
  <c r="O178" i="10"/>
  <c r="O179" i="10"/>
  <c r="O180" i="10"/>
  <c r="O181" i="10"/>
  <c r="O182" i="10"/>
  <c r="O183" i="10"/>
  <c r="O184" i="10"/>
  <c r="O185" i="10"/>
  <c r="O186" i="10"/>
  <c r="O187" i="10"/>
  <c r="O188" i="10"/>
  <c r="O189" i="10"/>
  <c r="O190" i="10"/>
  <c r="O191" i="10"/>
  <c r="O192" i="10"/>
  <c r="O193" i="10"/>
  <c r="O194" i="10"/>
  <c r="O195" i="10"/>
  <c r="O196" i="10"/>
  <c r="O197" i="10"/>
  <c r="O198" i="10"/>
  <c r="O199" i="10"/>
  <c r="O200" i="10"/>
  <c r="O201" i="10"/>
  <c r="O202" i="10"/>
  <c r="O203" i="10"/>
  <c r="O204" i="10"/>
  <c r="O205" i="10"/>
  <c r="O206" i="10"/>
  <c r="O207" i="10"/>
  <c r="O208" i="10"/>
  <c r="O209" i="10"/>
  <c r="O210" i="10"/>
  <c r="O211" i="10"/>
  <c r="O212" i="10"/>
  <c r="O213" i="10"/>
  <c r="O214" i="10"/>
  <c r="O215" i="10"/>
  <c r="O216" i="10"/>
  <c r="O217" i="10"/>
  <c r="O218" i="10"/>
  <c r="O219" i="10"/>
  <c r="O220" i="10"/>
  <c r="O221" i="10"/>
  <c r="O222" i="10"/>
  <c r="O223" i="10"/>
  <c r="O224" i="10"/>
  <c r="O225" i="10"/>
  <c r="O226" i="10"/>
  <c r="O227" i="10"/>
  <c r="O228" i="10"/>
  <c r="O229" i="10"/>
  <c r="O230" i="10"/>
  <c r="O231" i="10"/>
  <c r="O232" i="10"/>
  <c r="O233" i="10"/>
  <c r="O234" i="10"/>
  <c r="O235" i="10"/>
  <c r="O236" i="10"/>
  <c r="O237" i="10"/>
  <c r="O238" i="10"/>
  <c r="O239" i="10"/>
  <c r="O240" i="10"/>
  <c r="O241" i="10"/>
  <c r="O242" i="10"/>
  <c r="O243" i="10"/>
  <c r="O244" i="10"/>
  <c r="O245" i="10"/>
  <c r="O246" i="10"/>
  <c r="O247" i="10"/>
  <c r="O248" i="10"/>
  <c r="O249" i="10"/>
  <c r="O250" i="10"/>
  <c r="O2" i="10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" i="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" i="10"/>
  <c r="L14" i="9" l="1"/>
  <c r="M3" i="9"/>
  <c r="M14" i="9" s="1"/>
  <c r="K2" i="13"/>
  <c r="M80" i="16"/>
  <c r="G2" i="9"/>
  <c r="H8" i="9"/>
  <c r="H12" i="9"/>
  <c r="Q3" i="12"/>
  <c r="M5" i="12"/>
  <c r="N5" i="12" s="1"/>
  <c r="O5" i="12" s="1"/>
  <c r="P5" i="12"/>
  <c r="Q5" i="12" s="1"/>
  <c r="M169" i="12"/>
  <c r="N169" i="12" s="1"/>
  <c r="O169" i="12" s="1"/>
  <c r="P169" i="12"/>
  <c r="Q169" i="12" s="1"/>
  <c r="M139" i="12"/>
  <c r="N139" i="12" s="1"/>
  <c r="O139" i="12" s="1"/>
  <c r="P139" i="12"/>
  <c r="Q139" i="12" s="1"/>
  <c r="M144" i="12"/>
  <c r="N144" i="12" s="1"/>
  <c r="O144" i="12" s="1"/>
  <c r="P144" i="12"/>
  <c r="Q144" i="12" s="1"/>
  <c r="M175" i="12"/>
  <c r="N175" i="12" s="1"/>
  <c r="O175" i="12" s="1"/>
  <c r="P175" i="12"/>
  <c r="Q175" i="12" s="1"/>
  <c r="M13" i="12"/>
  <c r="N13" i="12" s="1"/>
  <c r="O13" i="12" s="1"/>
  <c r="P13" i="12"/>
  <c r="Q13" i="12" s="1"/>
  <c r="M156" i="12"/>
  <c r="N156" i="12" s="1"/>
  <c r="O156" i="12" s="1"/>
  <c r="P156" i="12"/>
  <c r="Q156" i="12" s="1"/>
  <c r="M11" i="12"/>
  <c r="N11" i="12" s="1"/>
  <c r="O11" i="12" s="1"/>
  <c r="P11" i="12"/>
  <c r="Q11" i="12" s="1"/>
  <c r="M27" i="12"/>
  <c r="P27" i="12"/>
  <c r="Q27" i="12" s="1"/>
  <c r="M120" i="12"/>
  <c r="N120" i="12" s="1"/>
  <c r="O120" i="12" s="1"/>
  <c r="P120" i="12"/>
  <c r="Q120" i="12" s="1"/>
  <c r="M132" i="12"/>
  <c r="N132" i="12" s="1"/>
  <c r="O132" i="12" s="1"/>
  <c r="P132" i="12"/>
  <c r="Q132" i="12" s="1"/>
  <c r="M138" i="12"/>
  <c r="N138" i="12" s="1"/>
  <c r="O138" i="12" s="1"/>
  <c r="P138" i="12"/>
  <c r="Q138" i="12" s="1"/>
  <c r="M137" i="12"/>
  <c r="N137" i="12" s="1"/>
  <c r="O137" i="12" s="1"/>
  <c r="P137" i="12"/>
  <c r="Q137" i="12" s="1"/>
  <c r="M168" i="12"/>
  <c r="N168" i="12" s="1"/>
  <c r="O168" i="12" s="1"/>
  <c r="P168" i="12"/>
  <c r="Q168" i="12" s="1"/>
  <c r="M201" i="12"/>
  <c r="N201" i="12" s="1"/>
  <c r="O201" i="12" s="1"/>
  <c r="P201" i="12"/>
  <c r="Q201" i="12" s="1"/>
  <c r="M176" i="12"/>
  <c r="N176" i="12" s="1"/>
  <c r="O176" i="12" s="1"/>
  <c r="P176" i="12"/>
  <c r="Q176" i="12" s="1"/>
  <c r="M186" i="12"/>
  <c r="N186" i="12" s="1"/>
  <c r="O186" i="12" s="1"/>
  <c r="P186" i="12"/>
  <c r="Q186" i="12" s="1"/>
  <c r="M196" i="12"/>
  <c r="N196" i="12" s="1"/>
  <c r="O196" i="12" s="1"/>
  <c r="P196" i="12"/>
  <c r="Q196" i="12" s="1"/>
  <c r="M21" i="12"/>
  <c r="N21" i="12" s="1"/>
  <c r="O21" i="12" s="1"/>
  <c r="P21" i="12"/>
  <c r="Q21" i="12" s="1"/>
  <c r="M116" i="12"/>
  <c r="N116" i="12" s="1"/>
  <c r="O116" i="12" s="1"/>
  <c r="P116" i="12"/>
  <c r="Q116" i="12" s="1"/>
  <c r="M143" i="12"/>
  <c r="P143" i="12"/>
  <c r="Q143" i="12" s="1"/>
  <c r="M145" i="12"/>
  <c r="N145" i="12" s="1"/>
  <c r="O145" i="12" s="1"/>
  <c r="P145" i="12"/>
  <c r="Q145" i="12" s="1"/>
  <c r="M152" i="12"/>
  <c r="N152" i="12" s="1"/>
  <c r="O152" i="12" s="1"/>
  <c r="P152" i="12"/>
  <c r="Q152" i="12" s="1"/>
  <c r="M164" i="12"/>
  <c r="N164" i="12" s="1"/>
  <c r="O164" i="12" s="1"/>
  <c r="P164" i="12"/>
  <c r="Q164" i="12" s="1"/>
  <c r="M19" i="12"/>
  <c r="N19" i="12" s="1"/>
  <c r="O19" i="12" s="1"/>
  <c r="P19" i="12"/>
  <c r="Q19" i="12" s="1"/>
  <c r="M141" i="12"/>
  <c r="N141" i="12" s="1"/>
  <c r="O141" i="12" s="1"/>
  <c r="P141" i="12"/>
  <c r="Q141" i="12" s="1"/>
  <c r="M162" i="12"/>
  <c r="N162" i="12" s="1"/>
  <c r="O162" i="12" s="1"/>
  <c r="P162" i="12"/>
  <c r="Q162" i="12" s="1"/>
  <c r="M174" i="12"/>
  <c r="N174" i="12" s="1"/>
  <c r="O174" i="12" s="1"/>
  <c r="P174" i="12"/>
  <c r="Q174" i="12" s="1"/>
  <c r="M112" i="12"/>
  <c r="N112" i="12" s="1"/>
  <c r="O112" i="12" s="1"/>
  <c r="P112" i="12"/>
  <c r="Q112" i="12" s="1"/>
  <c r="M158" i="12"/>
  <c r="N158" i="12" s="1"/>
  <c r="O158" i="12" s="1"/>
  <c r="P158" i="12"/>
  <c r="Q158" i="12" s="1"/>
  <c r="M187" i="12"/>
  <c r="N187" i="12" s="1"/>
  <c r="O187" i="12" s="1"/>
  <c r="P187" i="12"/>
  <c r="Q187" i="12" s="1"/>
  <c r="M200" i="12"/>
  <c r="N200" i="12" s="1"/>
  <c r="O200" i="12" s="1"/>
  <c r="P200" i="12"/>
  <c r="Q200" i="12" s="1"/>
  <c r="M126" i="12"/>
  <c r="N126" i="12" s="1"/>
  <c r="O126" i="12" s="1"/>
  <c r="P126" i="12"/>
  <c r="Q126" i="12" s="1"/>
  <c r="M29" i="12"/>
  <c r="N29" i="12" s="1"/>
  <c r="O29" i="12" s="1"/>
  <c r="P29" i="12"/>
  <c r="Q29" i="12" s="1"/>
  <c r="M134" i="12"/>
  <c r="N134" i="12" s="1"/>
  <c r="O134" i="12" s="1"/>
  <c r="P134" i="12"/>
  <c r="Q134" i="12" s="1"/>
  <c r="M190" i="12"/>
  <c r="N190" i="12" s="1"/>
  <c r="O190" i="12" s="1"/>
  <c r="P190" i="12"/>
  <c r="Q190" i="12" s="1"/>
  <c r="M70" i="12"/>
  <c r="N70" i="12" s="1"/>
  <c r="O70" i="12" s="1"/>
  <c r="J189" i="12"/>
  <c r="H10" i="9"/>
  <c r="H11" i="9"/>
  <c r="H7" i="9"/>
  <c r="H9" i="9"/>
  <c r="N80" i="16"/>
  <c r="M74" i="12"/>
  <c r="N74" i="12" s="1"/>
  <c r="O74" i="12" s="1"/>
  <c r="I71" i="12"/>
  <c r="M94" i="12"/>
  <c r="N94" i="12" s="1"/>
  <c r="O94" i="12" s="1"/>
  <c r="M95" i="12"/>
  <c r="N95" i="12" s="1"/>
  <c r="O95" i="12" s="1"/>
  <c r="M75" i="12"/>
  <c r="N75" i="12" s="1"/>
  <c r="O75" i="12" s="1"/>
  <c r="M96" i="12"/>
  <c r="N96" i="12" s="1"/>
  <c r="O96" i="12" s="1"/>
  <c r="J181" i="12"/>
  <c r="M242" i="10"/>
  <c r="N242" i="10" s="1"/>
  <c r="S242" i="10" s="1"/>
  <c r="M226" i="10"/>
  <c r="N226" i="10" s="1"/>
  <c r="T226" i="10" s="1"/>
  <c r="M210" i="10"/>
  <c r="N210" i="10" s="1"/>
  <c r="S210" i="10" s="1"/>
  <c r="M194" i="10"/>
  <c r="N194" i="10" s="1"/>
  <c r="T194" i="10" s="1"/>
  <c r="M178" i="10"/>
  <c r="N178" i="10" s="1"/>
  <c r="S178" i="10" s="1"/>
  <c r="M162" i="10"/>
  <c r="N162" i="10" s="1"/>
  <c r="T162" i="10" s="1"/>
  <c r="M146" i="10"/>
  <c r="N146" i="10" s="1"/>
  <c r="S146" i="10" s="1"/>
  <c r="M130" i="10"/>
  <c r="N130" i="10" s="1"/>
  <c r="S130" i="10" s="1"/>
  <c r="M114" i="10"/>
  <c r="N114" i="10" s="1"/>
  <c r="S114" i="10" s="1"/>
  <c r="M98" i="10"/>
  <c r="N98" i="10" s="1"/>
  <c r="S98" i="10" s="1"/>
  <c r="M82" i="10"/>
  <c r="N82" i="10" s="1"/>
  <c r="S82" i="10" s="1"/>
  <c r="M66" i="10"/>
  <c r="N66" i="10" s="1"/>
  <c r="S66" i="10" s="1"/>
  <c r="M34" i="10"/>
  <c r="N34" i="10" s="1"/>
  <c r="J129" i="12"/>
  <c r="I47" i="12"/>
  <c r="I104" i="12"/>
  <c r="I92" i="12"/>
  <c r="J165" i="12"/>
  <c r="I55" i="12"/>
  <c r="I63" i="12"/>
  <c r="I148" i="12"/>
  <c r="J171" i="12"/>
  <c r="J180" i="12"/>
  <c r="I39" i="12"/>
  <c r="M160" i="12"/>
  <c r="N160" i="12" s="1"/>
  <c r="O160" i="12" s="1"/>
  <c r="M198" i="12"/>
  <c r="N198" i="12" s="1"/>
  <c r="O198" i="12" s="1"/>
  <c r="M33" i="10"/>
  <c r="N33" i="10" s="1"/>
  <c r="M29" i="10"/>
  <c r="N29" i="10" s="1"/>
  <c r="S29" i="10" s="1"/>
  <c r="M25" i="10"/>
  <c r="N25" i="10" s="1"/>
  <c r="T25" i="10" s="1"/>
  <c r="M21" i="10"/>
  <c r="N21" i="10" s="1"/>
  <c r="T21" i="10" s="1"/>
  <c r="M17" i="10"/>
  <c r="N17" i="10" s="1"/>
  <c r="S17" i="10" s="1"/>
  <c r="M13" i="10"/>
  <c r="N13" i="10" s="1"/>
  <c r="T13" i="10" s="1"/>
  <c r="M9" i="10"/>
  <c r="N9" i="10" s="1"/>
  <c r="S9" i="10" s="1"/>
  <c r="M5" i="10"/>
  <c r="N5" i="10" s="1"/>
  <c r="T5" i="10" s="1"/>
  <c r="M249" i="10"/>
  <c r="N249" i="10" s="1"/>
  <c r="M245" i="10"/>
  <c r="N245" i="10" s="1"/>
  <c r="T245" i="10" s="1"/>
  <c r="M241" i="10"/>
  <c r="N241" i="10" s="1"/>
  <c r="T241" i="10" s="1"/>
  <c r="M237" i="10"/>
  <c r="N237" i="10" s="1"/>
  <c r="T237" i="10" s="1"/>
  <c r="M233" i="10"/>
  <c r="N233" i="10" s="1"/>
  <c r="T233" i="10" s="1"/>
  <c r="M229" i="10"/>
  <c r="N229" i="10" s="1"/>
  <c r="S229" i="10" s="1"/>
  <c r="M225" i="10"/>
  <c r="N225" i="10" s="1"/>
  <c r="T225" i="10" s="1"/>
  <c r="M221" i="10"/>
  <c r="N221" i="10" s="1"/>
  <c r="T221" i="10" s="1"/>
  <c r="M217" i="10"/>
  <c r="N217" i="10" s="1"/>
  <c r="T217" i="10" s="1"/>
  <c r="M213" i="10"/>
  <c r="N213" i="10" s="1"/>
  <c r="T213" i="10" s="1"/>
  <c r="M209" i="10"/>
  <c r="N209" i="10" s="1"/>
  <c r="T209" i="10" s="1"/>
  <c r="M205" i="10"/>
  <c r="N205" i="10" s="1"/>
  <c r="T205" i="10" s="1"/>
  <c r="M201" i="10"/>
  <c r="N201" i="10" s="1"/>
  <c r="S201" i="10" s="1"/>
  <c r="M197" i="10"/>
  <c r="N197" i="10" s="1"/>
  <c r="S197" i="10" s="1"/>
  <c r="M193" i="10"/>
  <c r="N193" i="10" s="1"/>
  <c r="T193" i="10" s="1"/>
  <c r="M189" i="10"/>
  <c r="N189" i="10" s="1"/>
  <c r="T189" i="10" s="1"/>
  <c r="M185" i="10"/>
  <c r="N185" i="10" s="1"/>
  <c r="T185" i="10" s="1"/>
  <c r="M181" i="10"/>
  <c r="N181" i="10" s="1"/>
  <c r="T181" i="10" s="1"/>
  <c r="M177" i="10"/>
  <c r="N177" i="10" s="1"/>
  <c r="T177" i="10" s="1"/>
  <c r="M173" i="10"/>
  <c r="N173" i="10" s="1"/>
  <c r="T173" i="10" s="1"/>
  <c r="M169" i="10"/>
  <c r="N169" i="10" s="1"/>
  <c r="T169" i="10" s="1"/>
  <c r="M165" i="10"/>
  <c r="N165" i="10" s="1"/>
  <c r="S165" i="10" s="1"/>
  <c r="M161" i="10"/>
  <c r="N161" i="10" s="1"/>
  <c r="T161" i="10" s="1"/>
  <c r="M157" i="10"/>
  <c r="N157" i="10" s="1"/>
  <c r="T157" i="10" s="1"/>
  <c r="M153" i="10"/>
  <c r="N153" i="10" s="1"/>
  <c r="T153" i="10" s="1"/>
  <c r="M149" i="10"/>
  <c r="N149" i="10" s="1"/>
  <c r="T149" i="10" s="1"/>
  <c r="M145" i="10"/>
  <c r="N145" i="10" s="1"/>
  <c r="T145" i="10" s="1"/>
  <c r="M141" i="10"/>
  <c r="N141" i="10" s="1"/>
  <c r="T141" i="10" s="1"/>
  <c r="M137" i="10"/>
  <c r="N137" i="10" s="1"/>
  <c r="T137" i="10" s="1"/>
  <c r="M133" i="10"/>
  <c r="N133" i="10" s="1"/>
  <c r="S133" i="10" s="1"/>
  <c r="M129" i="10"/>
  <c r="N129" i="10" s="1"/>
  <c r="T129" i="10" s="1"/>
  <c r="M125" i="10"/>
  <c r="N125" i="10" s="1"/>
  <c r="T125" i="10" s="1"/>
  <c r="M121" i="10"/>
  <c r="N121" i="10" s="1"/>
  <c r="S121" i="10" s="1"/>
  <c r="M117" i="10"/>
  <c r="N117" i="10" s="1"/>
  <c r="T117" i="10" s="1"/>
  <c r="M113" i="10"/>
  <c r="N113" i="10" s="1"/>
  <c r="T113" i="10" s="1"/>
  <c r="M109" i="10"/>
  <c r="N109" i="10" s="1"/>
  <c r="T109" i="10" s="1"/>
  <c r="M105" i="10"/>
  <c r="N105" i="10" s="1"/>
  <c r="T105" i="10" s="1"/>
  <c r="M101" i="10"/>
  <c r="N101" i="10" s="1"/>
  <c r="S101" i="10" s="1"/>
  <c r="M97" i="10"/>
  <c r="N97" i="10" s="1"/>
  <c r="T97" i="10" s="1"/>
  <c r="M93" i="10"/>
  <c r="N93" i="10" s="1"/>
  <c r="T93" i="10" s="1"/>
  <c r="M89" i="10"/>
  <c r="N89" i="10" s="1"/>
  <c r="M85" i="10"/>
  <c r="N85" i="10" s="1"/>
  <c r="T85" i="10" s="1"/>
  <c r="M81" i="10"/>
  <c r="N81" i="10" s="1"/>
  <c r="T81" i="10" s="1"/>
  <c r="M77" i="10"/>
  <c r="N77" i="10" s="1"/>
  <c r="T77" i="10" s="1"/>
  <c r="M73" i="10"/>
  <c r="N73" i="10" s="1"/>
  <c r="T73" i="10" s="1"/>
  <c r="M69" i="10"/>
  <c r="N69" i="10" s="1"/>
  <c r="S69" i="10" s="1"/>
  <c r="M65" i="10"/>
  <c r="N65" i="10" s="1"/>
  <c r="T65" i="10" s="1"/>
  <c r="M61" i="10"/>
  <c r="N61" i="10" s="1"/>
  <c r="T61" i="10" s="1"/>
  <c r="M57" i="10"/>
  <c r="N57" i="10" s="1"/>
  <c r="T57" i="10" s="1"/>
  <c r="M53" i="10"/>
  <c r="N53" i="10" s="1"/>
  <c r="T53" i="10" s="1"/>
  <c r="M49" i="10"/>
  <c r="N49" i="10" s="1"/>
  <c r="T49" i="10" s="1"/>
  <c r="M45" i="10"/>
  <c r="N45" i="10" s="1"/>
  <c r="T45" i="10" s="1"/>
  <c r="M41" i="10"/>
  <c r="N41" i="10" s="1"/>
  <c r="S41" i="10" s="1"/>
  <c r="M37" i="10"/>
  <c r="N37" i="10" s="1"/>
  <c r="S37" i="10" s="1"/>
  <c r="M32" i="10"/>
  <c r="N32" i="10" s="1"/>
  <c r="T32" i="10" s="1"/>
  <c r="M28" i="10"/>
  <c r="N28" i="10" s="1"/>
  <c r="T28" i="10" s="1"/>
  <c r="M24" i="10"/>
  <c r="N24" i="10" s="1"/>
  <c r="T24" i="10" s="1"/>
  <c r="M20" i="10"/>
  <c r="N20" i="10" s="1"/>
  <c r="T20" i="10" s="1"/>
  <c r="M16" i="10"/>
  <c r="N16" i="10" s="1"/>
  <c r="T16" i="10" s="1"/>
  <c r="M12" i="10"/>
  <c r="N12" i="10" s="1"/>
  <c r="T12" i="10" s="1"/>
  <c r="M8" i="10"/>
  <c r="N8" i="10" s="1"/>
  <c r="T8" i="10" s="1"/>
  <c r="M4" i="10"/>
  <c r="N4" i="10" s="1"/>
  <c r="S4" i="10" s="1"/>
  <c r="M244" i="10"/>
  <c r="N244" i="10" s="1"/>
  <c r="T244" i="10" s="1"/>
  <c r="M240" i="10"/>
  <c r="N240" i="10" s="1"/>
  <c r="S240" i="10" s="1"/>
  <c r="M236" i="10"/>
  <c r="N236" i="10" s="1"/>
  <c r="S236" i="10" s="1"/>
  <c r="M232" i="10"/>
  <c r="N232" i="10" s="1"/>
  <c r="T232" i="10" s="1"/>
  <c r="M228" i="10"/>
  <c r="N228" i="10" s="1"/>
  <c r="S228" i="10" s="1"/>
  <c r="M224" i="10"/>
  <c r="N224" i="10" s="1"/>
  <c r="T224" i="10" s="1"/>
  <c r="M220" i="10"/>
  <c r="N220" i="10" s="1"/>
  <c r="T220" i="10" s="1"/>
  <c r="M216" i="10"/>
  <c r="N216" i="10" s="1"/>
  <c r="S216" i="10" s="1"/>
  <c r="M212" i="10"/>
  <c r="N212" i="10" s="1"/>
  <c r="T212" i="10" s="1"/>
  <c r="M208" i="10"/>
  <c r="N208" i="10" s="1"/>
  <c r="T208" i="10" s="1"/>
  <c r="M204" i="10"/>
  <c r="N204" i="10" s="1"/>
  <c r="S204" i="10" s="1"/>
  <c r="M200" i="10"/>
  <c r="N200" i="10" s="1"/>
  <c r="T200" i="10" s="1"/>
  <c r="M196" i="10"/>
  <c r="N196" i="10" s="1"/>
  <c r="T196" i="10" s="1"/>
  <c r="M192" i="10"/>
  <c r="N192" i="10" s="1"/>
  <c r="S192" i="10" s="1"/>
  <c r="M188" i="10"/>
  <c r="N188" i="10" s="1"/>
  <c r="T188" i="10" s="1"/>
  <c r="M184" i="10"/>
  <c r="N184" i="10" s="1"/>
  <c r="S184" i="10" s="1"/>
  <c r="M180" i="10"/>
  <c r="N180" i="10" s="1"/>
  <c r="S180" i="10" s="1"/>
  <c r="M176" i="10"/>
  <c r="N176" i="10" s="1"/>
  <c r="S176" i="10" s="1"/>
  <c r="M172" i="10"/>
  <c r="N172" i="10" s="1"/>
  <c r="S172" i="10" s="1"/>
  <c r="M168" i="10"/>
  <c r="N168" i="10" s="1"/>
  <c r="T168" i="10" s="1"/>
  <c r="M164" i="10"/>
  <c r="N164" i="10" s="1"/>
  <c r="S164" i="10" s="1"/>
  <c r="M160" i="10"/>
  <c r="N160" i="10" s="1"/>
  <c r="T160" i="10" s="1"/>
  <c r="M156" i="10"/>
  <c r="N156" i="10" s="1"/>
  <c r="T156" i="10" s="1"/>
  <c r="M152" i="10"/>
  <c r="N152" i="10" s="1"/>
  <c r="S152" i="10" s="1"/>
  <c r="M148" i="10"/>
  <c r="N148" i="10" s="1"/>
  <c r="S148" i="10" s="1"/>
  <c r="M144" i="10"/>
  <c r="N144" i="10" s="1"/>
  <c r="S144" i="10" s="1"/>
  <c r="M140" i="10"/>
  <c r="N140" i="10" s="1"/>
  <c r="T140" i="10" s="1"/>
  <c r="M136" i="10"/>
  <c r="N136" i="10" s="1"/>
  <c r="T136" i="10" s="1"/>
  <c r="M132" i="10"/>
  <c r="N132" i="10" s="1"/>
  <c r="T132" i="10" s="1"/>
  <c r="M128" i="10"/>
  <c r="N128" i="10" s="1"/>
  <c r="S128" i="10" s="1"/>
  <c r="M124" i="10"/>
  <c r="N124" i="10" s="1"/>
  <c r="T124" i="10" s="1"/>
  <c r="M120" i="10"/>
  <c r="N120" i="10" s="1"/>
  <c r="S120" i="10" s="1"/>
  <c r="M116" i="10"/>
  <c r="N116" i="10" s="1"/>
  <c r="T116" i="10" s="1"/>
  <c r="M112" i="10"/>
  <c r="N112" i="10" s="1"/>
  <c r="T112" i="10" s="1"/>
  <c r="M108" i="10"/>
  <c r="N108" i="10" s="1"/>
  <c r="M104" i="10"/>
  <c r="N104" i="10" s="1"/>
  <c r="S104" i="10" s="1"/>
  <c r="M100" i="10"/>
  <c r="N100" i="10" s="1"/>
  <c r="T100" i="10" s="1"/>
  <c r="M96" i="10"/>
  <c r="N96" i="10" s="1"/>
  <c r="T96" i="10" s="1"/>
  <c r="M92" i="10"/>
  <c r="N92" i="10" s="1"/>
  <c r="T92" i="10" s="1"/>
  <c r="M88" i="10"/>
  <c r="N88" i="10" s="1"/>
  <c r="T88" i="10" s="1"/>
  <c r="M84" i="10"/>
  <c r="N84" i="10" s="1"/>
  <c r="S84" i="10" s="1"/>
  <c r="M80" i="10"/>
  <c r="N80" i="10" s="1"/>
  <c r="T80" i="10" s="1"/>
  <c r="M76" i="10"/>
  <c r="N76" i="10" s="1"/>
  <c r="T76" i="10" s="1"/>
  <c r="M72" i="10"/>
  <c r="N72" i="10" s="1"/>
  <c r="S72" i="10" s="1"/>
  <c r="M68" i="10"/>
  <c r="N68" i="10" s="1"/>
  <c r="T68" i="10" s="1"/>
  <c r="M64" i="10"/>
  <c r="N64" i="10" s="1"/>
  <c r="T64" i="10" s="1"/>
  <c r="M60" i="10"/>
  <c r="N60" i="10" s="1"/>
  <c r="T60" i="10" s="1"/>
  <c r="M56" i="10"/>
  <c r="N56" i="10" s="1"/>
  <c r="T56" i="10" s="1"/>
  <c r="M52" i="10"/>
  <c r="N52" i="10" s="1"/>
  <c r="S52" i="10" s="1"/>
  <c r="M48" i="10"/>
  <c r="N48" i="10" s="1"/>
  <c r="T48" i="10" s="1"/>
  <c r="M44" i="10"/>
  <c r="N44" i="10" s="1"/>
  <c r="T44" i="10" s="1"/>
  <c r="M40" i="10"/>
  <c r="N40" i="10" s="1"/>
  <c r="S40" i="10" s="1"/>
  <c r="M36" i="10"/>
  <c r="N36" i="10" s="1"/>
  <c r="T36" i="10" s="1"/>
  <c r="T236" i="10"/>
  <c r="T249" i="10"/>
  <c r="S249" i="10"/>
  <c r="T172" i="10"/>
  <c r="S140" i="10"/>
  <c r="S217" i="10"/>
  <c r="S185" i="10"/>
  <c r="T121" i="10"/>
  <c r="T89" i="10"/>
  <c r="S89" i="10"/>
  <c r="S57" i="10"/>
  <c r="S24" i="10"/>
  <c r="M250" i="10"/>
  <c r="N250" i="10" s="1"/>
  <c r="M246" i="10"/>
  <c r="N246" i="10" s="1"/>
  <c r="M238" i="10"/>
  <c r="N238" i="10" s="1"/>
  <c r="M234" i="10"/>
  <c r="N234" i="10" s="1"/>
  <c r="M230" i="10"/>
  <c r="N230" i="10" s="1"/>
  <c r="M222" i="10"/>
  <c r="N222" i="10" s="1"/>
  <c r="M218" i="10"/>
  <c r="N218" i="10" s="1"/>
  <c r="M214" i="10"/>
  <c r="N214" i="10" s="1"/>
  <c r="M206" i="10"/>
  <c r="N206" i="10" s="1"/>
  <c r="M202" i="10"/>
  <c r="N202" i="10" s="1"/>
  <c r="M198" i="10"/>
  <c r="N198" i="10" s="1"/>
  <c r="M190" i="10"/>
  <c r="N190" i="10" s="1"/>
  <c r="M186" i="10"/>
  <c r="N186" i="10" s="1"/>
  <c r="M182" i="10"/>
  <c r="N182" i="10" s="1"/>
  <c r="M174" i="10"/>
  <c r="N174" i="10" s="1"/>
  <c r="M170" i="10"/>
  <c r="N170" i="10" s="1"/>
  <c r="M166" i="10"/>
  <c r="N166" i="10" s="1"/>
  <c r="M158" i="10"/>
  <c r="N158" i="10" s="1"/>
  <c r="M154" i="10"/>
  <c r="N154" i="10" s="1"/>
  <c r="M150" i="10"/>
  <c r="N150" i="10" s="1"/>
  <c r="M142" i="10"/>
  <c r="N142" i="10" s="1"/>
  <c r="M138" i="10"/>
  <c r="N138" i="10" s="1"/>
  <c r="M134" i="10"/>
  <c r="N134" i="10" s="1"/>
  <c r="M126" i="10"/>
  <c r="N126" i="10" s="1"/>
  <c r="M122" i="10"/>
  <c r="N122" i="10" s="1"/>
  <c r="M118" i="10"/>
  <c r="N118" i="10" s="1"/>
  <c r="M110" i="10"/>
  <c r="N110" i="10" s="1"/>
  <c r="M106" i="10"/>
  <c r="N106" i="10" s="1"/>
  <c r="M102" i="10"/>
  <c r="N102" i="10" s="1"/>
  <c r="M94" i="10"/>
  <c r="N94" i="10" s="1"/>
  <c r="M90" i="10"/>
  <c r="N90" i="10" s="1"/>
  <c r="M86" i="10"/>
  <c r="N86" i="10" s="1"/>
  <c r="M78" i="10"/>
  <c r="N78" i="10" s="1"/>
  <c r="M74" i="10"/>
  <c r="N74" i="10" s="1"/>
  <c r="M70" i="10"/>
  <c r="N70" i="10" s="1"/>
  <c r="M62" i="10"/>
  <c r="N62" i="10" s="1"/>
  <c r="M58" i="10"/>
  <c r="N58" i="10" s="1"/>
  <c r="M54" i="10"/>
  <c r="N54" i="10" s="1"/>
  <c r="M50" i="10"/>
  <c r="N50" i="10" s="1"/>
  <c r="M46" i="10"/>
  <c r="N46" i="10" s="1"/>
  <c r="M42" i="10"/>
  <c r="N42" i="10" s="1"/>
  <c r="M38" i="10"/>
  <c r="N38" i="10" s="1"/>
  <c r="M30" i="10"/>
  <c r="N30" i="10" s="1"/>
  <c r="M26" i="10"/>
  <c r="N26" i="10" s="1"/>
  <c r="M22" i="10"/>
  <c r="N22" i="10" s="1"/>
  <c r="M18" i="10"/>
  <c r="N18" i="10" s="1"/>
  <c r="M14" i="10"/>
  <c r="N14" i="10" s="1"/>
  <c r="M10" i="10"/>
  <c r="N10" i="10" s="1"/>
  <c r="M6" i="10"/>
  <c r="N6" i="10" s="1"/>
  <c r="T108" i="10"/>
  <c r="S108" i="10"/>
  <c r="S76" i="10"/>
  <c r="S33" i="10"/>
  <c r="T33" i="10"/>
  <c r="J191" i="12"/>
  <c r="M38" i="12"/>
  <c r="N38" i="12" s="1"/>
  <c r="O38" i="12" s="1"/>
  <c r="M42" i="12"/>
  <c r="N42" i="12" s="1"/>
  <c r="O42" i="12" s="1"/>
  <c r="M43" i="12"/>
  <c r="N43" i="12" s="1"/>
  <c r="O43" i="12" s="1"/>
  <c r="M118" i="12"/>
  <c r="N118" i="12" s="1"/>
  <c r="O118" i="12" s="1"/>
  <c r="M157" i="12"/>
  <c r="N157" i="12" s="1"/>
  <c r="O157" i="12" s="1"/>
  <c r="I159" i="12"/>
  <c r="I160" i="12"/>
  <c r="I60" i="12"/>
  <c r="I84" i="12"/>
  <c r="I106" i="12"/>
  <c r="J109" i="12"/>
  <c r="I156" i="12"/>
  <c r="M6" i="12"/>
  <c r="N6" i="12" s="1"/>
  <c r="O6" i="12" s="1"/>
  <c r="M8" i="12"/>
  <c r="N8" i="12" s="1"/>
  <c r="O8" i="12" s="1"/>
  <c r="M22" i="12"/>
  <c r="N22" i="12" s="1"/>
  <c r="O22" i="12" s="1"/>
  <c r="M24" i="12"/>
  <c r="N24" i="12" s="1"/>
  <c r="O24" i="12" s="1"/>
  <c r="M37" i="12"/>
  <c r="N37" i="12" s="1"/>
  <c r="O37" i="12" s="1"/>
  <c r="I56" i="12"/>
  <c r="I57" i="12"/>
  <c r="M197" i="12"/>
  <c r="J197" i="12"/>
  <c r="M54" i="12"/>
  <c r="N54" i="12" s="1"/>
  <c r="O54" i="12" s="1"/>
  <c r="M58" i="12"/>
  <c r="N58" i="12" s="1"/>
  <c r="O58" i="12" s="1"/>
  <c r="M59" i="12"/>
  <c r="N59" i="12" s="1"/>
  <c r="O59" i="12" s="1"/>
  <c r="M82" i="12"/>
  <c r="N82" i="12" s="1"/>
  <c r="O82" i="12" s="1"/>
  <c r="M83" i="12"/>
  <c r="N83" i="12" s="1"/>
  <c r="O83" i="12" s="1"/>
  <c r="M84" i="12"/>
  <c r="N84" i="12" s="1"/>
  <c r="O84" i="12" s="1"/>
  <c r="I96" i="12"/>
  <c r="M159" i="12"/>
  <c r="N159" i="12" s="1"/>
  <c r="O159" i="12" s="1"/>
  <c r="J187" i="12"/>
  <c r="J188" i="12"/>
  <c r="M46" i="12"/>
  <c r="N46" i="12" s="1"/>
  <c r="O46" i="12" s="1"/>
  <c r="M50" i="12"/>
  <c r="N50" i="12" s="1"/>
  <c r="O50" i="12" s="1"/>
  <c r="M51" i="12"/>
  <c r="N51" i="12" s="1"/>
  <c r="O51" i="12" s="1"/>
  <c r="M62" i="12"/>
  <c r="N62" i="12" s="1"/>
  <c r="O62" i="12" s="1"/>
  <c r="M66" i="12"/>
  <c r="N66" i="12" s="1"/>
  <c r="O66" i="12" s="1"/>
  <c r="M67" i="12"/>
  <c r="N67" i="12" s="1"/>
  <c r="O67" i="12" s="1"/>
  <c r="M80" i="12"/>
  <c r="N80" i="12" s="1"/>
  <c r="O80" i="12" s="1"/>
  <c r="M81" i="12"/>
  <c r="N81" i="12" s="1"/>
  <c r="O81" i="12" s="1"/>
  <c r="M114" i="12"/>
  <c r="N114" i="12" s="1"/>
  <c r="O114" i="12" s="1"/>
  <c r="M122" i="12"/>
  <c r="N122" i="12" s="1"/>
  <c r="O122" i="12" s="1"/>
  <c r="M124" i="12"/>
  <c r="N124" i="12" s="1"/>
  <c r="O124" i="12" s="1"/>
  <c r="M150" i="12"/>
  <c r="N150" i="12" s="1"/>
  <c r="O150" i="12" s="1"/>
  <c r="M163" i="12"/>
  <c r="N163" i="12" s="1"/>
  <c r="O163" i="12" s="1"/>
  <c r="M14" i="12"/>
  <c r="N14" i="12" s="1"/>
  <c r="O14" i="12" s="1"/>
  <c r="M16" i="12"/>
  <c r="N16" i="12" s="1"/>
  <c r="O16" i="12" s="1"/>
  <c r="M30" i="12"/>
  <c r="N30" i="12" s="1"/>
  <c r="O30" i="12" s="1"/>
  <c r="M32" i="12"/>
  <c r="N32" i="12" s="1"/>
  <c r="O32" i="12" s="1"/>
  <c r="M45" i="12"/>
  <c r="N45" i="12" s="1"/>
  <c r="O45" i="12" s="1"/>
  <c r="I125" i="12"/>
  <c r="I127" i="12"/>
  <c r="I129" i="12"/>
  <c r="M147" i="12"/>
  <c r="N147" i="12" s="1"/>
  <c r="O147" i="12" s="1"/>
  <c r="M161" i="12"/>
  <c r="N161" i="12" s="1"/>
  <c r="O161" i="12" s="1"/>
  <c r="I164" i="12"/>
  <c r="M166" i="12"/>
  <c r="N166" i="12" s="1"/>
  <c r="O166" i="12" s="1"/>
  <c r="J179" i="12"/>
  <c r="J183" i="12"/>
  <c r="J184" i="12"/>
  <c r="M193" i="12"/>
  <c r="N193" i="12" s="1"/>
  <c r="O193" i="12" s="1"/>
  <c r="M199" i="12"/>
  <c r="N199" i="12" s="1"/>
  <c r="O199" i="12" s="1"/>
  <c r="J198" i="12"/>
  <c r="J194" i="12"/>
  <c r="J190" i="12"/>
  <c r="J186" i="12"/>
  <c r="J182" i="12"/>
  <c r="J178" i="12"/>
  <c r="J170" i="12"/>
  <c r="I166" i="12"/>
  <c r="I162" i="12"/>
  <c r="I158" i="12"/>
  <c r="I154" i="12"/>
  <c r="I150" i="12"/>
  <c r="I78" i="12"/>
  <c r="I70" i="12"/>
  <c r="I62" i="12"/>
  <c r="I54" i="12"/>
  <c r="I46" i="12"/>
  <c r="I38" i="12"/>
  <c r="M142" i="12"/>
  <c r="N142" i="12" s="1"/>
  <c r="O142" i="12" s="1"/>
  <c r="M148" i="12"/>
  <c r="N148" i="12" s="1"/>
  <c r="O148" i="12" s="1"/>
  <c r="M154" i="12"/>
  <c r="N154" i="12" s="1"/>
  <c r="O154" i="12" s="1"/>
  <c r="I165" i="12"/>
  <c r="M165" i="12"/>
  <c r="N165" i="12" s="1"/>
  <c r="O165" i="12" s="1"/>
  <c r="M191" i="12"/>
  <c r="N191" i="12" s="1"/>
  <c r="O191" i="12" s="1"/>
  <c r="J2" i="15"/>
  <c r="L2" i="15" s="1"/>
  <c r="G26" i="15"/>
  <c r="D6" i="5" s="1"/>
  <c r="F26" i="15"/>
  <c r="C6" i="5" s="1"/>
  <c r="F6" i="5" s="1"/>
  <c r="K6" i="13"/>
  <c r="M6" i="13" s="1"/>
  <c r="N6" i="13" s="1"/>
  <c r="M12" i="13"/>
  <c r="N12" i="13" s="1"/>
  <c r="K3" i="13"/>
  <c r="M3" i="13" s="1"/>
  <c r="N3" i="13" s="1"/>
  <c r="M2" i="13"/>
  <c r="N2" i="13" s="1"/>
  <c r="G14" i="13"/>
  <c r="C7" i="5" s="1"/>
  <c r="H14" i="13"/>
  <c r="D7" i="5" s="1"/>
  <c r="J174" i="12"/>
  <c r="N2" i="12"/>
  <c r="M3" i="12"/>
  <c r="N3" i="12" s="1"/>
  <c r="O3" i="12" s="1"/>
  <c r="M4" i="12"/>
  <c r="N4" i="12" s="1"/>
  <c r="O4" i="12" s="1"/>
  <c r="M15" i="12"/>
  <c r="N15" i="12" s="1"/>
  <c r="O15" i="12" s="1"/>
  <c r="M17" i="12"/>
  <c r="N17" i="12" s="1"/>
  <c r="O17" i="12" s="1"/>
  <c r="M18" i="12"/>
  <c r="N18" i="12" s="1"/>
  <c r="O18" i="12" s="1"/>
  <c r="M20" i="12"/>
  <c r="N20" i="12" s="1"/>
  <c r="O20" i="12" s="1"/>
  <c r="M31" i="12"/>
  <c r="N31" i="12" s="1"/>
  <c r="O31" i="12" s="1"/>
  <c r="M33" i="12"/>
  <c r="N33" i="12" s="1"/>
  <c r="O33" i="12" s="1"/>
  <c r="M34" i="12"/>
  <c r="N34" i="12" s="1"/>
  <c r="O34" i="12" s="1"/>
  <c r="M36" i="12"/>
  <c r="N36" i="12" s="1"/>
  <c r="O36" i="12" s="1"/>
  <c r="M39" i="12"/>
  <c r="N39" i="12" s="1"/>
  <c r="O39" i="12" s="1"/>
  <c r="M40" i="12"/>
  <c r="N40" i="12" s="1"/>
  <c r="O40" i="12" s="1"/>
  <c r="M41" i="12"/>
  <c r="N41" i="12" s="1"/>
  <c r="O41" i="12" s="1"/>
  <c r="I43" i="12"/>
  <c r="M44" i="12"/>
  <c r="N44" i="12" s="1"/>
  <c r="O44" i="12" s="1"/>
  <c r="I52" i="12"/>
  <c r="M61" i="12"/>
  <c r="N61" i="12" s="1"/>
  <c r="O61" i="12" s="1"/>
  <c r="I80" i="12"/>
  <c r="M140" i="12"/>
  <c r="N140" i="12" s="1"/>
  <c r="O140" i="12" s="1"/>
  <c r="M173" i="12"/>
  <c r="N173" i="12" s="1"/>
  <c r="O173" i="12" s="1"/>
  <c r="J173" i="12"/>
  <c r="M192" i="12"/>
  <c r="N192" i="12" s="1"/>
  <c r="O192" i="12" s="1"/>
  <c r="I36" i="12"/>
  <c r="I40" i="12"/>
  <c r="I41" i="12"/>
  <c r="I44" i="12"/>
  <c r="I48" i="12"/>
  <c r="I49" i="12"/>
  <c r="M172" i="12"/>
  <c r="N172" i="12" s="1"/>
  <c r="O172" i="12" s="1"/>
  <c r="J172" i="12"/>
  <c r="M195" i="12"/>
  <c r="N195" i="12" s="1"/>
  <c r="O195" i="12" s="1"/>
  <c r="M7" i="12"/>
  <c r="N7" i="12" s="1"/>
  <c r="O7" i="12" s="1"/>
  <c r="M9" i="12"/>
  <c r="N9" i="12" s="1"/>
  <c r="O9" i="12" s="1"/>
  <c r="M10" i="12"/>
  <c r="N10" i="12" s="1"/>
  <c r="O10" i="12" s="1"/>
  <c r="M12" i="12"/>
  <c r="N12" i="12" s="1"/>
  <c r="O12" i="12" s="1"/>
  <c r="M23" i="12"/>
  <c r="N23" i="12" s="1"/>
  <c r="O23" i="12" s="1"/>
  <c r="M25" i="12"/>
  <c r="N25" i="12" s="1"/>
  <c r="O25" i="12" s="1"/>
  <c r="M26" i="12"/>
  <c r="N26" i="12" s="1"/>
  <c r="O26" i="12" s="1"/>
  <c r="M28" i="12"/>
  <c r="N28" i="12" s="1"/>
  <c r="O28" i="12" s="1"/>
  <c r="M53" i="12"/>
  <c r="N53" i="12" s="1"/>
  <c r="O53" i="12" s="1"/>
  <c r="M69" i="12"/>
  <c r="N69" i="12" s="1"/>
  <c r="O69" i="12" s="1"/>
  <c r="M194" i="12"/>
  <c r="N194" i="12" s="1"/>
  <c r="O194" i="12" s="1"/>
  <c r="I199" i="12"/>
  <c r="M86" i="12"/>
  <c r="N86" i="12" s="1"/>
  <c r="O86" i="12" s="1"/>
  <c r="M87" i="12"/>
  <c r="N87" i="12" s="1"/>
  <c r="O87" i="12" s="1"/>
  <c r="M88" i="12"/>
  <c r="N88" i="12" s="1"/>
  <c r="O88" i="12" s="1"/>
  <c r="M90" i="12"/>
  <c r="N90" i="12" s="1"/>
  <c r="O90" i="12" s="1"/>
  <c r="M91" i="12"/>
  <c r="N91" i="12" s="1"/>
  <c r="O91" i="12" s="1"/>
  <c r="M93" i="12"/>
  <c r="N93" i="12" s="1"/>
  <c r="O93" i="12" s="1"/>
  <c r="M102" i="12"/>
  <c r="N102" i="12" s="1"/>
  <c r="O102" i="12" s="1"/>
  <c r="M103" i="12"/>
  <c r="N103" i="12" s="1"/>
  <c r="O103" i="12" s="1"/>
  <c r="M149" i="12"/>
  <c r="N149" i="12" s="1"/>
  <c r="O149" i="12" s="1"/>
  <c r="J193" i="12"/>
  <c r="J185" i="12"/>
  <c r="J177" i="12"/>
  <c r="I137" i="12"/>
  <c r="I121" i="12"/>
  <c r="I117" i="12"/>
  <c r="I113" i="12"/>
  <c r="M47" i="12"/>
  <c r="N47" i="12" s="1"/>
  <c r="O47" i="12" s="1"/>
  <c r="M48" i="12"/>
  <c r="N48" i="12" s="1"/>
  <c r="O48" i="12" s="1"/>
  <c r="M49" i="12"/>
  <c r="N49" i="12" s="1"/>
  <c r="O49" i="12" s="1"/>
  <c r="I51" i="12"/>
  <c r="M52" i="12"/>
  <c r="N52" i="12" s="1"/>
  <c r="O52" i="12" s="1"/>
  <c r="M55" i="12"/>
  <c r="N55" i="12" s="1"/>
  <c r="O55" i="12" s="1"/>
  <c r="M56" i="12"/>
  <c r="N56" i="12" s="1"/>
  <c r="O56" i="12" s="1"/>
  <c r="M57" i="12"/>
  <c r="N57" i="12" s="1"/>
  <c r="O57" i="12" s="1"/>
  <c r="I59" i="12"/>
  <c r="M60" i="12"/>
  <c r="N60" i="12" s="1"/>
  <c r="O60" i="12" s="1"/>
  <c r="M63" i="12"/>
  <c r="N63" i="12" s="1"/>
  <c r="O63" i="12" s="1"/>
  <c r="M64" i="12"/>
  <c r="N64" i="12" s="1"/>
  <c r="O64" i="12" s="1"/>
  <c r="M65" i="12"/>
  <c r="N65" i="12" s="1"/>
  <c r="O65" i="12" s="1"/>
  <c r="I67" i="12"/>
  <c r="M68" i="12"/>
  <c r="N68" i="12" s="1"/>
  <c r="O68" i="12" s="1"/>
  <c r="M71" i="12"/>
  <c r="N71" i="12" s="1"/>
  <c r="O71" i="12" s="1"/>
  <c r="M72" i="12"/>
  <c r="N72" i="12" s="1"/>
  <c r="O72" i="12" s="1"/>
  <c r="M73" i="12"/>
  <c r="N73" i="12" s="1"/>
  <c r="O73" i="12" s="1"/>
  <c r="I75" i="12"/>
  <c r="M76" i="12"/>
  <c r="N76" i="12" s="1"/>
  <c r="O76" i="12" s="1"/>
  <c r="M77" i="12"/>
  <c r="N77" i="12" s="1"/>
  <c r="O77" i="12" s="1"/>
  <c r="M78" i="12"/>
  <c r="N78" i="12" s="1"/>
  <c r="O78" i="12" s="1"/>
  <c r="M85" i="12"/>
  <c r="N85" i="12" s="1"/>
  <c r="O85" i="12" s="1"/>
  <c r="I88" i="12"/>
  <c r="M89" i="12"/>
  <c r="N89" i="12" s="1"/>
  <c r="O89" i="12" s="1"/>
  <c r="M92" i="12"/>
  <c r="N92" i="12" s="1"/>
  <c r="O92" i="12" s="1"/>
  <c r="M98" i="12"/>
  <c r="N98" i="12" s="1"/>
  <c r="O98" i="12" s="1"/>
  <c r="M99" i="12"/>
  <c r="N99" i="12" s="1"/>
  <c r="O99" i="12" s="1"/>
  <c r="M100" i="12"/>
  <c r="N100" i="12" s="1"/>
  <c r="O100" i="12" s="1"/>
  <c r="M101" i="12"/>
  <c r="N101" i="12" s="1"/>
  <c r="O101" i="12" s="1"/>
  <c r="M104" i="12"/>
  <c r="N104" i="12" s="1"/>
  <c r="O104" i="12" s="1"/>
  <c r="M110" i="12"/>
  <c r="N110" i="12" s="1"/>
  <c r="O110" i="12" s="1"/>
  <c r="M111" i="12"/>
  <c r="N111" i="12" s="1"/>
  <c r="O111" i="12" s="1"/>
  <c r="M113" i="12"/>
  <c r="N113" i="12" s="1"/>
  <c r="O113" i="12" s="1"/>
  <c r="M115" i="12"/>
  <c r="N115" i="12" s="1"/>
  <c r="O115" i="12" s="1"/>
  <c r="M117" i="12"/>
  <c r="N117" i="12" s="1"/>
  <c r="O117" i="12" s="1"/>
  <c r="M119" i="12"/>
  <c r="N119" i="12" s="1"/>
  <c r="O119" i="12" s="1"/>
  <c r="M121" i="12"/>
  <c r="N121" i="12" s="1"/>
  <c r="O121" i="12" s="1"/>
  <c r="M123" i="12"/>
  <c r="N123" i="12" s="1"/>
  <c r="O123" i="12" s="1"/>
  <c r="M131" i="12"/>
  <c r="N131" i="12" s="1"/>
  <c r="O131" i="12" s="1"/>
  <c r="M135" i="12"/>
  <c r="N135" i="12" s="1"/>
  <c r="O135" i="12" s="1"/>
  <c r="M136" i="12"/>
  <c r="N136" i="12" s="1"/>
  <c r="O136" i="12" s="1"/>
  <c r="J137" i="12"/>
  <c r="I143" i="12"/>
  <c r="M151" i="12"/>
  <c r="N151" i="12" s="1"/>
  <c r="O151" i="12" s="1"/>
  <c r="M153" i="12"/>
  <c r="N153" i="12" s="1"/>
  <c r="O153" i="12" s="1"/>
  <c r="M155" i="12"/>
  <c r="N155" i="12" s="1"/>
  <c r="O155" i="12" s="1"/>
  <c r="M167" i="12"/>
  <c r="N167" i="12" s="1"/>
  <c r="O167" i="12" s="1"/>
  <c r="J175" i="12"/>
  <c r="J176" i="12"/>
  <c r="M178" i="12"/>
  <c r="N178" i="12" s="1"/>
  <c r="O178" i="12" s="1"/>
  <c r="M179" i="12"/>
  <c r="N179" i="12" s="1"/>
  <c r="O179" i="12" s="1"/>
  <c r="M185" i="12"/>
  <c r="N185" i="12" s="1"/>
  <c r="O185" i="12" s="1"/>
  <c r="M188" i="12"/>
  <c r="N188" i="12" s="1"/>
  <c r="O188" i="12" s="1"/>
  <c r="M189" i="12"/>
  <c r="N189" i="12" s="1"/>
  <c r="O189" i="12" s="1"/>
  <c r="J192" i="12"/>
  <c r="I64" i="12"/>
  <c r="I65" i="12"/>
  <c r="I68" i="12"/>
  <c r="I72" i="12"/>
  <c r="I73" i="12"/>
  <c r="I76" i="12"/>
  <c r="M79" i="12"/>
  <c r="N79" i="12" s="1"/>
  <c r="O79" i="12" s="1"/>
  <c r="M97" i="12"/>
  <c r="N97" i="12" s="1"/>
  <c r="O97" i="12" s="1"/>
  <c r="I100" i="12"/>
  <c r="M105" i="12"/>
  <c r="N105" i="12" s="1"/>
  <c r="O105" i="12" s="1"/>
  <c r="M106" i="12"/>
  <c r="N106" i="12" s="1"/>
  <c r="O106" i="12" s="1"/>
  <c r="M107" i="12"/>
  <c r="N107" i="12" s="1"/>
  <c r="O107" i="12" s="1"/>
  <c r="M108" i="12"/>
  <c r="N108" i="12" s="1"/>
  <c r="O108" i="12" s="1"/>
  <c r="M109" i="12"/>
  <c r="N109" i="12" s="1"/>
  <c r="O109" i="12" s="1"/>
  <c r="I115" i="12"/>
  <c r="I119" i="12"/>
  <c r="I123" i="12"/>
  <c r="M125" i="12"/>
  <c r="N125" i="12" s="1"/>
  <c r="O125" i="12" s="1"/>
  <c r="M127" i="12"/>
  <c r="N127" i="12" s="1"/>
  <c r="O127" i="12" s="1"/>
  <c r="M128" i="12"/>
  <c r="N128" i="12" s="1"/>
  <c r="O128" i="12" s="1"/>
  <c r="M129" i="12"/>
  <c r="N129" i="12" s="1"/>
  <c r="O129" i="12" s="1"/>
  <c r="M130" i="12"/>
  <c r="N130" i="12" s="1"/>
  <c r="O130" i="12" s="1"/>
  <c r="M133" i="12"/>
  <c r="N133" i="12" s="1"/>
  <c r="O133" i="12" s="1"/>
  <c r="M146" i="12"/>
  <c r="N146" i="12" s="1"/>
  <c r="O146" i="12" s="1"/>
  <c r="I152" i="12"/>
  <c r="I167" i="12"/>
  <c r="I168" i="12"/>
  <c r="M170" i="12"/>
  <c r="N170" i="12" s="1"/>
  <c r="O170" i="12" s="1"/>
  <c r="M171" i="12"/>
  <c r="N171" i="12" s="1"/>
  <c r="O171" i="12" s="1"/>
  <c r="M177" i="12"/>
  <c r="N177" i="12" s="1"/>
  <c r="O177" i="12" s="1"/>
  <c r="M180" i="12"/>
  <c r="N180" i="12" s="1"/>
  <c r="O180" i="12" s="1"/>
  <c r="M181" i="12"/>
  <c r="N181" i="12" s="1"/>
  <c r="O181" i="12" s="1"/>
  <c r="M182" i="12"/>
  <c r="N182" i="12" s="1"/>
  <c r="O182" i="12" s="1"/>
  <c r="M183" i="12"/>
  <c r="N183" i="12" s="1"/>
  <c r="O183" i="12" s="1"/>
  <c r="M184" i="12"/>
  <c r="N184" i="12" s="1"/>
  <c r="O184" i="12" s="1"/>
  <c r="J196" i="12"/>
  <c r="J195" i="12"/>
  <c r="I163" i="12"/>
  <c r="I135" i="12"/>
  <c r="I102" i="12"/>
  <c r="I86" i="12"/>
  <c r="I74" i="12"/>
  <c r="I58" i="12"/>
  <c r="I77" i="12"/>
  <c r="I61" i="12"/>
  <c r="I45" i="12"/>
  <c r="I37" i="12"/>
  <c r="I94" i="12"/>
  <c r="I90" i="12"/>
  <c r="I82" i="12"/>
  <c r="I66" i="12"/>
  <c r="I50" i="12"/>
  <c r="I42" i="12"/>
  <c r="I201" i="12"/>
  <c r="J201" i="12"/>
  <c r="I161" i="12"/>
  <c r="J161" i="12"/>
  <c r="I141" i="12"/>
  <c r="J141" i="12"/>
  <c r="I69" i="12"/>
  <c r="I53" i="12"/>
  <c r="I145" i="12"/>
  <c r="J145" i="12"/>
  <c r="I98" i="12"/>
  <c r="I133" i="12"/>
  <c r="J133" i="12"/>
  <c r="J159" i="12"/>
  <c r="J163" i="12"/>
  <c r="J167" i="12"/>
  <c r="I200" i="12"/>
  <c r="J200" i="12"/>
  <c r="N143" i="12"/>
  <c r="O143" i="12" s="1"/>
  <c r="J168" i="12"/>
  <c r="J199" i="12"/>
  <c r="I9" i="12"/>
  <c r="J9" i="12"/>
  <c r="J17" i="12"/>
  <c r="I17" i="12"/>
  <c r="I25" i="12"/>
  <c r="J25" i="12"/>
  <c r="I33" i="12"/>
  <c r="J33" i="12"/>
  <c r="I11" i="12"/>
  <c r="J11" i="12"/>
  <c r="I19" i="12"/>
  <c r="J19" i="12"/>
  <c r="I27" i="12"/>
  <c r="J27" i="12"/>
  <c r="J35" i="12"/>
  <c r="I35" i="12"/>
  <c r="F203" i="12"/>
  <c r="B16" i="5" s="1"/>
  <c r="J2" i="12"/>
  <c r="I3" i="12"/>
  <c r="J3" i="12"/>
  <c r="J4" i="12"/>
  <c r="I4" i="12"/>
  <c r="J5" i="12"/>
  <c r="I5" i="12"/>
  <c r="I13" i="12"/>
  <c r="J13" i="12"/>
  <c r="J21" i="12"/>
  <c r="I21" i="12"/>
  <c r="I29" i="12"/>
  <c r="J29" i="12"/>
  <c r="I7" i="12"/>
  <c r="J7" i="12"/>
  <c r="I15" i="12"/>
  <c r="J15" i="12"/>
  <c r="I23" i="12"/>
  <c r="J23" i="12"/>
  <c r="N27" i="12"/>
  <c r="O27" i="12" s="1"/>
  <c r="I31" i="12"/>
  <c r="J31" i="12"/>
  <c r="M35" i="12"/>
  <c r="N35" i="12" s="1"/>
  <c r="O35" i="12" s="1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5" i="12"/>
  <c r="J67" i="12"/>
  <c r="J69" i="12"/>
  <c r="J71" i="12"/>
  <c r="J73" i="12"/>
  <c r="J75" i="12"/>
  <c r="J77" i="12"/>
  <c r="J79" i="12"/>
  <c r="I79" i="12"/>
  <c r="J80" i="12"/>
  <c r="J83" i="12"/>
  <c r="I83" i="12"/>
  <c r="J84" i="12"/>
  <c r="J87" i="12"/>
  <c r="I87" i="12"/>
  <c r="J88" i="12"/>
  <c r="J91" i="12"/>
  <c r="I91" i="12"/>
  <c r="J92" i="12"/>
  <c r="J95" i="12"/>
  <c r="I95" i="12"/>
  <c r="J96" i="12"/>
  <c r="J99" i="12"/>
  <c r="I99" i="12"/>
  <c r="J100" i="12"/>
  <c r="J103" i="12"/>
  <c r="I103" i="12"/>
  <c r="J104" i="12"/>
  <c r="J107" i="12"/>
  <c r="I107" i="12"/>
  <c r="J108" i="12"/>
  <c r="I108" i="12"/>
  <c r="J112" i="12"/>
  <c r="I112" i="12"/>
  <c r="J116" i="12"/>
  <c r="I116" i="12"/>
  <c r="J120" i="12"/>
  <c r="I120" i="12"/>
  <c r="J124" i="12"/>
  <c r="I124" i="12"/>
  <c r="I139" i="12"/>
  <c r="J139" i="12"/>
  <c r="I111" i="12"/>
  <c r="I6" i="12"/>
  <c r="I8" i="12"/>
  <c r="I10" i="12"/>
  <c r="I12" i="12"/>
  <c r="I14" i="12"/>
  <c r="I16" i="12"/>
  <c r="I18" i="12"/>
  <c r="I20" i="12"/>
  <c r="I22" i="12"/>
  <c r="I24" i="12"/>
  <c r="I26" i="12"/>
  <c r="I28" i="12"/>
  <c r="I30" i="12"/>
  <c r="I32" i="12"/>
  <c r="I34" i="12"/>
  <c r="I109" i="12"/>
  <c r="J6" i="12"/>
  <c r="J8" i="12"/>
  <c r="J10" i="12"/>
  <c r="J12" i="12"/>
  <c r="J14" i="12"/>
  <c r="J16" i="12"/>
  <c r="J18" i="12"/>
  <c r="J20" i="12"/>
  <c r="J22" i="12"/>
  <c r="J24" i="12"/>
  <c r="J26" i="12"/>
  <c r="J28" i="12"/>
  <c r="J30" i="12"/>
  <c r="J32" i="12"/>
  <c r="J34" i="12"/>
  <c r="J36" i="12"/>
  <c r="J38" i="12"/>
  <c r="J40" i="12"/>
  <c r="J42" i="12"/>
  <c r="J44" i="12"/>
  <c r="J46" i="12"/>
  <c r="J48" i="12"/>
  <c r="J50" i="12"/>
  <c r="J52" i="12"/>
  <c r="J54" i="12"/>
  <c r="J56" i="12"/>
  <c r="J58" i="12"/>
  <c r="J60" i="12"/>
  <c r="J62" i="12"/>
  <c r="J64" i="12"/>
  <c r="J66" i="12"/>
  <c r="J68" i="12"/>
  <c r="J70" i="12"/>
  <c r="J72" i="12"/>
  <c r="J74" i="12"/>
  <c r="J76" i="12"/>
  <c r="J78" i="12"/>
  <c r="J81" i="12"/>
  <c r="I81" i="12"/>
  <c r="J82" i="12"/>
  <c r="J85" i="12"/>
  <c r="I85" i="12"/>
  <c r="J86" i="12"/>
  <c r="J89" i="12"/>
  <c r="I89" i="12"/>
  <c r="J90" i="12"/>
  <c r="J93" i="12"/>
  <c r="I93" i="12"/>
  <c r="J94" i="12"/>
  <c r="J97" i="12"/>
  <c r="I97" i="12"/>
  <c r="J98" i="12"/>
  <c r="J101" i="12"/>
  <c r="I101" i="12"/>
  <c r="J102" i="12"/>
  <c r="J105" i="12"/>
  <c r="I105" i="12"/>
  <c r="J106" i="12"/>
  <c r="J110" i="12"/>
  <c r="I110" i="12"/>
  <c r="J111" i="12"/>
  <c r="J114" i="12"/>
  <c r="I114" i="12"/>
  <c r="J118" i="12"/>
  <c r="I118" i="12"/>
  <c r="J122" i="12"/>
  <c r="I122" i="12"/>
  <c r="J126" i="12"/>
  <c r="I126" i="12"/>
  <c r="I131" i="12"/>
  <c r="J131" i="12"/>
  <c r="J113" i="12"/>
  <c r="J115" i="12"/>
  <c r="J117" i="12"/>
  <c r="J119" i="12"/>
  <c r="J121" i="12"/>
  <c r="J123" i="12"/>
  <c r="J125" i="12"/>
  <c r="J127" i="12"/>
  <c r="J135" i="12"/>
  <c r="J143" i="12"/>
  <c r="J149" i="12"/>
  <c r="I149" i="12"/>
  <c r="J153" i="12"/>
  <c r="I153" i="12"/>
  <c r="J157" i="12"/>
  <c r="I157" i="12"/>
  <c r="I146" i="12"/>
  <c r="J147" i="12"/>
  <c r="I147" i="12"/>
  <c r="J151" i="12"/>
  <c r="I151" i="12"/>
  <c r="J155" i="12"/>
  <c r="I155" i="12"/>
  <c r="I128" i="12"/>
  <c r="I130" i="12"/>
  <c r="I132" i="12"/>
  <c r="I134" i="12"/>
  <c r="I136" i="12"/>
  <c r="I138" i="12"/>
  <c r="I140" i="12"/>
  <c r="I142" i="12"/>
  <c r="I144" i="12"/>
  <c r="J160" i="12"/>
  <c r="J164" i="12"/>
  <c r="J128" i="12"/>
  <c r="J130" i="12"/>
  <c r="J132" i="12"/>
  <c r="J134" i="12"/>
  <c r="J136" i="12"/>
  <c r="J138" i="12"/>
  <c r="J140" i="12"/>
  <c r="J142" i="12"/>
  <c r="J144" i="12"/>
  <c r="J146" i="12"/>
  <c r="J148" i="12"/>
  <c r="J150" i="12"/>
  <c r="J152" i="12"/>
  <c r="J154" i="12"/>
  <c r="J156" i="12"/>
  <c r="J158" i="12"/>
  <c r="J162" i="12"/>
  <c r="J166" i="12"/>
  <c r="J169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M248" i="10"/>
  <c r="N248" i="10" s="1"/>
  <c r="M247" i="10"/>
  <c r="N247" i="10" s="1"/>
  <c r="M239" i="10"/>
  <c r="N239" i="10" s="1"/>
  <c r="M231" i="10"/>
  <c r="N231" i="10" s="1"/>
  <c r="M223" i="10"/>
  <c r="N223" i="10" s="1"/>
  <c r="M215" i="10"/>
  <c r="N215" i="10" s="1"/>
  <c r="M203" i="10"/>
  <c r="N203" i="10" s="1"/>
  <c r="M195" i="10"/>
  <c r="N195" i="10" s="1"/>
  <c r="M187" i="10"/>
  <c r="N187" i="10" s="1"/>
  <c r="M179" i="10"/>
  <c r="N179" i="10" s="1"/>
  <c r="M171" i="10"/>
  <c r="N171" i="10" s="1"/>
  <c r="M163" i="10"/>
  <c r="N163" i="10" s="1"/>
  <c r="M155" i="10"/>
  <c r="N155" i="10" s="1"/>
  <c r="M147" i="10"/>
  <c r="N147" i="10" s="1"/>
  <c r="M143" i="10"/>
  <c r="N143" i="10" s="1"/>
  <c r="M139" i="10"/>
  <c r="N139" i="10" s="1"/>
  <c r="M135" i="10"/>
  <c r="N135" i="10" s="1"/>
  <c r="M131" i="10"/>
  <c r="N131" i="10" s="1"/>
  <c r="M127" i="10"/>
  <c r="N127" i="10" s="1"/>
  <c r="M123" i="10"/>
  <c r="N123" i="10" s="1"/>
  <c r="M119" i="10"/>
  <c r="N119" i="10" s="1"/>
  <c r="M115" i="10"/>
  <c r="N115" i="10" s="1"/>
  <c r="M111" i="10"/>
  <c r="N111" i="10" s="1"/>
  <c r="M107" i="10"/>
  <c r="N107" i="10" s="1"/>
  <c r="M99" i="10"/>
  <c r="N99" i="10" s="1"/>
  <c r="M95" i="10"/>
  <c r="N95" i="10" s="1"/>
  <c r="M91" i="10"/>
  <c r="N91" i="10" s="1"/>
  <c r="M87" i="10"/>
  <c r="N87" i="10" s="1"/>
  <c r="M83" i="10"/>
  <c r="N83" i="10" s="1"/>
  <c r="M79" i="10"/>
  <c r="N79" i="10" s="1"/>
  <c r="M75" i="10"/>
  <c r="N75" i="10" s="1"/>
  <c r="M71" i="10"/>
  <c r="N71" i="10" s="1"/>
  <c r="M67" i="10"/>
  <c r="N67" i="10" s="1"/>
  <c r="M63" i="10"/>
  <c r="N63" i="10" s="1"/>
  <c r="M59" i="10"/>
  <c r="N59" i="10" s="1"/>
  <c r="M55" i="10"/>
  <c r="N55" i="10" s="1"/>
  <c r="M51" i="10"/>
  <c r="N51" i="10" s="1"/>
  <c r="M47" i="10"/>
  <c r="N47" i="10" s="1"/>
  <c r="M43" i="10"/>
  <c r="N43" i="10" s="1"/>
  <c r="M39" i="10"/>
  <c r="N39" i="10" s="1"/>
  <c r="M35" i="10"/>
  <c r="N35" i="10" s="1"/>
  <c r="M31" i="10"/>
  <c r="N31" i="10" s="1"/>
  <c r="M27" i="10"/>
  <c r="N27" i="10" s="1"/>
  <c r="M23" i="10"/>
  <c r="N23" i="10" s="1"/>
  <c r="M19" i="10"/>
  <c r="N19" i="10" s="1"/>
  <c r="M15" i="10"/>
  <c r="N15" i="10" s="1"/>
  <c r="M11" i="10"/>
  <c r="N11" i="10" s="1"/>
  <c r="M7" i="10"/>
  <c r="N7" i="10" s="1"/>
  <c r="M3" i="10"/>
  <c r="N3" i="10" s="1"/>
  <c r="M2" i="10"/>
  <c r="N2" i="10" s="1"/>
  <c r="M243" i="10"/>
  <c r="N243" i="10" s="1"/>
  <c r="M235" i="10"/>
  <c r="N235" i="10" s="1"/>
  <c r="M227" i="10"/>
  <c r="N227" i="10" s="1"/>
  <c r="M219" i="10"/>
  <c r="N219" i="10" s="1"/>
  <c r="M211" i="10"/>
  <c r="N211" i="10" s="1"/>
  <c r="M207" i="10"/>
  <c r="N207" i="10" s="1"/>
  <c r="M199" i="10"/>
  <c r="N199" i="10" s="1"/>
  <c r="M191" i="10"/>
  <c r="N191" i="10" s="1"/>
  <c r="M183" i="10"/>
  <c r="N183" i="10" s="1"/>
  <c r="M175" i="10"/>
  <c r="N175" i="10" s="1"/>
  <c r="M167" i="10"/>
  <c r="N167" i="10" s="1"/>
  <c r="M159" i="10"/>
  <c r="N159" i="10" s="1"/>
  <c r="M151" i="10"/>
  <c r="N151" i="10" s="1"/>
  <c r="M103" i="10"/>
  <c r="N103" i="10" s="1"/>
  <c r="K252" i="10"/>
  <c r="B4" i="5" s="1"/>
  <c r="G13" i="6" s="1"/>
  <c r="L252" i="10"/>
  <c r="T204" i="10" l="1"/>
  <c r="S162" i="10"/>
  <c r="S49" i="10"/>
  <c r="T216" i="10"/>
  <c r="T201" i="10"/>
  <c r="S44" i="10"/>
  <c r="S153" i="10"/>
  <c r="T240" i="10"/>
  <c r="S194" i="10"/>
  <c r="AV2" i="17"/>
  <c r="AU2" i="17"/>
  <c r="AO2" i="17"/>
  <c r="BA2" i="17"/>
  <c r="CT2" i="17"/>
  <c r="BL2" i="17"/>
  <c r="Z2" i="17"/>
  <c r="AJ2" i="17"/>
  <c r="W2" i="17"/>
  <c r="AM2" i="17"/>
  <c r="BP2" i="17"/>
  <c r="BT2" i="17"/>
  <c r="BY2" i="17"/>
  <c r="BH2" i="17"/>
  <c r="BW2" i="17"/>
  <c r="X2" i="17"/>
  <c r="CV2" i="17"/>
  <c r="AF2" i="17"/>
  <c r="CD2" i="17"/>
  <c r="AX2" i="17"/>
  <c r="I2" i="17"/>
  <c r="C2" i="17"/>
  <c r="CU2" i="17"/>
  <c r="AQ2" i="17"/>
  <c r="N2" i="17"/>
  <c r="D2" i="17"/>
  <c r="BX2" i="17"/>
  <c r="CR2" i="17"/>
  <c r="AT2" i="17"/>
  <c r="AH2" i="17"/>
  <c r="AK2" i="17"/>
  <c r="K2" i="17"/>
  <c r="CS2" i="17"/>
  <c r="BU2" i="17"/>
  <c r="AG2" i="17"/>
  <c r="BG2" i="17"/>
  <c r="AP2" i="17"/>
  <c r="AS2" i="17"/>
  <c r="AW2" i="17"/>
  <c r="N197" i="12"/>
  <c r="O197" i="12" s="1"/>
  <c r="CK2" i="17"/>
  <c r="CM2" i="17"/>
  <c r="F2" i="17"/>
  <c r="S2" i="17"/>
  <c r="BV2" i="17"/>
  <c r="AB2" i="17"/>
  <c r="BO2" i="17"/>
  <c r="Y2" i="17"/>
  <c r="T2" i="17"/>
  <c r="BS2" i="17"/>
  <c r="R2" i="17"/>
  <c r="AI2" i="17"/>
  <c r="BR2" i="17"/>
  <c r="AA2" i="17"/>
  <c r="CA2" i="17"/>
  <c r="M2" i="17"/>
  <c r="L2" i="17"/>
  <c r="G2" i="17"/>
  <c r="CF2" i="17"/>
  <c r="AL2" i="17"/>
  <c r="CO2" i="17"/>
  <c r="CW2" i="17"/>
  <c r="CN2" i="17"/>
  <c r="CI2" i="17"/>
  <c r="CB2" i="17"/>
  <c r="CH2" i="17"/>
  <c r="CG2" i="17"/>
  <c r="BK2" i="17"/>
  <c r="U2" i="17"/>
  <c r="BI2" i="17"/>
  <c r="AD2" i="17"/>
  <c r="AR2" i="17"/>
  <c r="AY2" i="17"/>
  <c r="AZ2" i="17"/>
  <c r="BB2" i="17"/>
  <c r="O2" i="12"/>
  <c r="BQ2" i="17"/>
  <c r="CP2" i="17"/>
  <c r="P2" i="17"/>
  <c r="O2" i="17"/>
  <c r="Q2" i="17"/>
  <c r="V2" i="17"/>
  <c r="BC2" i="17"/>
  <c r="E2" i="17"/>
  <c r="CC2" i="17"/>
  <c r="BZ2" i="17"/>
  <c r="H2" i="17"/>
  <c r="AC2" i="17"/>
  <c r="J2" i="17"/>
  <c r="BD2" i="17"/>
  <c r="BE2" i="17"/>
  <c r="BF2" i="17"/>
  <c r="BN2" i="17"/>
  <c r="CJ2" i="17"/>
  <c r="CL2" i="17"/>
  <c r="CQ2" i="17"/>
  <c r="BJ2" i="17"/>
  <c r="AE2" i="17"/>
  <c r="BM2" i="17"/>
  <c r="AN2" i="17"/>
  <c r="CE2" i="17"/>
  <c r="CX2" i="17"/>
  <c r="D3" i="17"/>
  <c r="BP3" i="17"/>
  <c r="AF3" i="17"/>
  <c r="F3" i="17"/>
  <c r="CA3" i="17"/>
  <c r="BA3" i="17"/>
  <c r="H3" i="17"/>
  <c r="CC3" i="17"/>
  <c r="AK3" i="17"/>
  <c r="C3" i="17"/>
  <c r="BM3" i="17"/>
  <c r="K3" i="17"/>
  <c r="CG3" i="17"/>
  <c r="AQ3" i="17"/>
  <c r="L3" i="17"/>
  <c r="BX3" i="17"/>
  <c r="AO3" i="17"/>
  <c r="O3" i="17"/>
  <c r="CJ3" i="17"/>
  <c r="BJ3" i="17"/>
  <c r="Q3" i="17"/>
  <c r="CL3" i="17"/>
  <c r="AT3" i="17"/>
  <c r="CH3" i="17"/>
  <c r="BV3" i="17"/>
  <c r="U3" i="17"/>
  <c r="CP3" i="17"/>
  <c r="BR3" i="17"/>
  <c r="BD3" i="17"/>
  <c r="T3" i="17"/>
  <c r="CF3" i="17"/>
  <c r="AX3" i="17"/>
  <c r="X3" i="17"/>
  <c r="CS3" i="17"/>
  <c r="BS3" i="17"/>
  <c r="Z3" i="17"/>
  <c r="CU3" i="17"/>
  <c r="BC3" i="17"/>
  <c r="J3" i="17"/>
  <c r="CE3" i="17"/>
  <c r="AD3" i="17"/>
  <c r="V3" i="17"/>
  <c r="BT3" i="17"/>
  <c r="AA3" i="17"/>
  <c r="AB3" i="17"/>
  <c r="CN3" i="17"/>
  <c r="BG3" i="17"/>
  <c r="AG3" i="17"/>
  <c r="G3" i="17"/>
  <c r="CB3" i="17"/>
  <c r="AI3" i="17"/>
  <c r="AN3" i="17"/>
  <c r="BL3" i="17"/>
  <c r="S3" i="17"/>
  <c r="CO3" i="17"/>
  <c r="AM3" i="17"/>
  <c r="BF3" i="17"/>
  <c r="AW3" i="17"/>
  <c r="AJ3" i="17"/>
  <c r="CV3" i="17"/>
  <c r="BQ3" i="17"/>
  <c r="AP3" i="17"/>
  <c r="P3" i="17"/>
  <c r="CK3" i="17"/>
  <c r="AS3" i="17"/>
  <c r="BY3" i="17"/>
  <c r="BU3" i="17"/>
  <c r="AC3" i="17"/>
  <c r="CX3" i="17"/>
  <c r="AV3" i="17"/>
  <c r="CR3" i="17"/>
  <c r="BW3" i="17"/>
  <c r="AR3" i="17"/>
  <c r="E3" i="17"/>
  <c r="BZ3" i="17"/>
  <c r="AY3" i="17"/>
  <c r="Y3" i="17"/>
  <c r="CT3" i="17"/>
  <c r="BB3" i="17"/>
  <c r="I3" i="17"/>
  <c r="CD3" i="17"/>
  <c r="AL3" i="17"/>
  <c r="AE3" i="17"/>
  <c r="BE3" i="17"/>
  <c r="W3" i="17"/>
  <c r="CW3" i="17"/>
  <c r="AZ3" i="17"/>
  <c r="N3" i="17"/>
  <c r="CI3" i="17"/>
  <c r="BI3" i="17"/>
  <c r="AH3" i="17"/>
  <c r="M3" i="17"/>
  <c r="BK3" i="17"/>
  <c r="R3" i="17"/>
  <c r="CM3" i="17"/>
  <c r="AU3" i="17"/>
  <c r="AU5" i="17" s="1"/>
  <c r="BO3" i="17"/>
  <c r="BN3" i="17"/>
  <c r="BH3" i="17"/>
  <c r="CQ3" i="17"/>
  <c r="T130" i="10"/>
  <c r="T37" i="10"/>
  <c r="S156" i="10"/>
  <c r="T242" i="10"/>
  <c r="S226" i="10"/>
  <c r="T178" i="10"/>
  <c r="T17" i="10"/>
  <c r="T41" i="10"/>
  <c r="S105" i="10"/>
  <c r="S233" i="10"/>
  <c r="S60" i="10"/>
  <c r="S169" i="10"/>
  <c r="T114" i="10"/>
  <c r="S8" i="10"/>
  <c r="S113" i="10"/>
  <c r="S124" i="10"/>
  <c r="S177" i="10"/>
  <c r="S188" i="10"/>
  <c r="S73" i="10"/>
  <c r="S132" i="10"/>
  <c r="S92" i="10"/>
  <c r="S137" i="10"/>
  <c r="S220" i="10"/>
  <c r="T98" i="10"/>
  <c r="T66" i="10"/>
  <c r="T144" i="10"/>
  <c r="S25" i="10"/>
  <c r="T84" i="10"/>
  <c r="S16" i="10"/>
  <c r="T180" i="10"/>
  <c r="T9" i="10"/>
  <c r="S68" i="10"/>
  <c r="S81" i="10"/>
  <c r="S145" i="10"/>
  <c r="S209" i="10"/>
  <c r="T164" i="10"/>
  <c r="T228" i="10"/>
  <c r="S241" i="10"/>
  <c r="T82" i="10"/>
  <c r="T146" i="10"/>
  <c r="T210" i="10"/>
  <c r="T52" i="10"/>
  <c r="T165" i="10"/>
  <c r="T148" i="10"/>
  <c r="S36" i="10"/>
  <c r="S100" i="10"/>
  <c r="T152" i="10"/>
  <c r="T40" i="10"/>
  <c r="S56" i="10"/>
  <c r="T72" i="10"/>
  <c r="S88" i="10"/>
  <c r="T104" i="10"/>
  <c r="T4" i="10"/>
  <c r="T133" i="10"/>
  <c r="T184" i="10"/>
  <c r="T101" i="10"/>
  <c r="T120" i="10"/>
  <c r="S13" i="10"/>
  <c r="T29" i="10"/>
  <c r="T69" i="10"/>
  <c r="T197" i="10"/>
  <c r="T229" i="10"/>
  <c r="S20" i="10"/>
  <c r="S32" i="10"/>
  <c r="S53" i="10"/>
  <c r="S65" i="10"/>
  <c r="S85" i="10"/>
  <c r="S97" i="10"/>
  <c r="S117" i="10"/>
  <c r="S129" i="10"/>
  <c r="S149" i="10"/>
  <c r="S161" i="10"/>
  <c r="S181" i="10"/>
  <c r="S193" i="10"/>
  <c r="S213" i="10"/>
  <c r="S116" i="10"/>
  <c r="S136" i="10"/>
  <c r="S225" i="10"/>
  <c r="S245" i="10"/>
  <c r="S168" i="10"/>
  <c r="S196" i="10"/>
  <c r="S212" i="10"/>
  <c r="S232" i="10"/>
  <c r="S244" i="10"/>
  <c r="S200" i="10"/>
  <c r="T128" i="10"/>
  <c r="T192" i="10"/>
  <c r="T176" i="10"/>
  <c r="S12" i="10"/>
  <c r="S28" i="10"/>
  <c r="S45" i="10"/>
  <c r="S61" i="10"/>
  <c r="S77" i="10"/>
  <c r="S93" i="10"/>
  <c r="S109" i="10"/>
  <c r="S125" i="10"/>
  <c r="S141" i="10"/>
  <c r="S157" i="10"/>
  <c r="S173" i="10"/>
  <c r="S189" i="10"/>
  <c r="S205" i="10"/>
  <c r="S160" i="10"/>
  <c r="S208" i="10"/>
  <c r="S221" i="10"/>
  <c r="S237" i="10"/>
  <c r="S224" i="10"/>
  <c r="S5" i="10"/>
  <c r="S21" i="10"/>
  <c r="S48" i="10"/>
  <c r="S64" i="10"/>
  <c r="S80" i="10"/>
  <c r="S96" i="10"/>
  <c r="S112" i="10"/>
  <c r="T191" i="10"/>
  <c r="S191" i="10"/>
  <c r="S2" i="10"/>
  <c r="T2" i="10"/>
  <c r="T31" i="10"/>
  <c r="S31" i="10"/>
  <c r="T63" i="10"/>
  <c r="S63" i="10"/>
  <c r="T95" i="10"/>
  <c r="S95" i="10"/>
  <c r="T131" i="10"/>
  <c r="S131" i="10"/>
  <c r="T179" i="10"/>
  <c r="S179" i="10"/>
  <c r="T247" i="10"/>
  <c r="S247" i="10"/>
  <c r="T167" i="10"/>
  <c r="S167" i="10"/>
  <c r="T199" i="10"/>
  <c r="S199" i="10"/>
  <c r="T227" i="10"/>
  <c r="S227" i="10"/>
  <c r="T3" i="10"/>
  <c r="S3" i="10"/>
  <c r="T19" i="10"/>
  <c r="S19" i="10"/>
  <c r="T35" i="10"/>
  <c r="S35" i="10"/>
  <c r="T51" i="10"/>
  <c r="S51" i="10"/>
  <c r="T67" i="10"/>
  <c r="S67" i="10"/>
  <c r="T83" i="10"/>
  <c r="S83" i="10"/>
  <c r="T99" i="10"/>
  <c r="S99" i="10"/>
  <c r="T119" i="10"/>
  <c r="S119" i="10"/>
  <c r="T135" i="10"/>
  <c r="S135" i="10"/>
  <c r="T155" i="10"/>
  <c r="S155" i="10"/>
  <c r="T187" i="10"/>
  <c r="S187" i="10"/>
  <c r="T223" i="10"/>
  <c r="S223" i="10"/>
  <c r="T248" i="10"/>
  <c r="S248" i="10"/>
  <c r="T14" i="10"/>
  <c r="S14" i="10"/>
  <c r="T30" i="10"/>
  <c r="S30" i="10"/>
  <c r="T46" i="10"/>
  <c r="S46" i="10"/>
  <c r="T62" i="10"/>
  <c r="S62" i="10"/>
  <c r="T86" i="10"/>
  <c r="S86" i="10"/>
  <c r="S106" i="10"/>
  <c r="T106" i="10"/>
  <c r="T126" i="10"/>
  <c r="S126" i="10"/>
  <c r="T150" i="10"/>
  <c r="S150" i="10"/>
  <c r="S170" i="10"/>
  <c r="T170" i="10"/>
  <c r="T190" i="10"/>
  <c r="S190" i="10"/>
  <c r="T214" i="10"/>
  <c r="S214" i="10"/>
  <c r="S234" i="10"/>
  <c r="T234" i="10"/>
  <c r="T103" i="10"/>
  <c r="S103" i="10"/>
  <c r="T207" i="10"/>
  <c r="S207" i="10"/>
  <c r="T7" i="10"/>
  <c r="S7" i="10"/>
  <c r="T39" i="10"/>
  <c r="S39" i="10"/>
  <c r="T71" i="10"/>
  <c r="S71" i="10"/>
  <c r="T107" i="10"/>
  <c r="S107" i="10"/>
  <c r="T139" i="10"/>
  <c r="S139" i="10"/>
  <c r="T231" i="10"/>
  <c r="S231" i="10"/>
  <c r="T18" i="10"/>
  <c r="S18" i="10"/>
  <c r="M252" i="10"/>
  <c r="S50" i="10"/>
  <c r="T50" i="10"/>
  <c r="T70" i="10"/>
  <c r="S70" i="10"/>
  <c r="T90" i="10"/>
  <c r="S90" i="10"/>
  <c r="T110" i="10"/>
  <c r="S110" i="10"/>
  <c r="T134" i="10"/>
  <c r="S134" i="10"/>
  <c r="S154" i="10"/>
  <c r="T154" i="10"/>
  <c r="T174" i="10"/>
  <c r="S174" i="10"/>
  <c r="T198" i="10"/>
  <c r="S198" i="10"/>
  <c r="S218" i="10"/>
  <c r="T218" i="10"/>
  <c r="T238" i="10"/>
  <c r="S238" i="10"/>
  <c r="T175" i="10"/>
  <c r="S175" i="10"/>
  <c r="T235" i="10"/>
  <c r="S235" i="10"/>
  <c r="T23" i="10"/>
  <c r="S23" i="10"/>
  <c r="T55" i="10"/>
  <c r="S55" i="10"/>
  <c r="T87" i="10"/>
  <c r="S87" i="10"/>
  <c r="T123" i="10"/>
  <c r="S123" i="10"/>
  <c r="T163" i="10"/>
  <c r="S163" i="10"/>
  <c r="T195" i="10"/>
  <c r="S195" i="10"/>
  <c r="T151" i="10"/>
  <c r="S151" i="10"/>
  <c r="T183" i="10"/>
  <c r="S183" i="10"/>
  <c r="T211" i="10"/>
  <c r="S211" i="10"/>
  <c r="T243" i="10"/>
  <c r="S243" i="10"/>
  <c r="T11" i="10"/>
  <c r="S11" i="10"/>
  <c r="T27" i="10"/>
  <c r="S27" i="10"/>
  <c r="S43" i="10"/>
  <c r="T43" i="10"/>
  <c r="S59" i="10"/>
  <c r="T59" i="10"/>
  <c r="S75" i="10"/>
  <c r="T75" i="10"/>
  <c r="S91" i="10"/>
  <c r="T91" i="10"/>
  <c r="T111" i="10"/>
  <c r="S111" i="10"/>
  <c r="T127" i="10"/>
  <c r="S127" i="10"/>
  <c r="T143" i="10"/>
  <c r="S143" i="10"/>
  <c r="T171" i="10"/>
  <c r="S171" i="10"/>
  <c r="T203" i="10"/>
  <c r="S203" i="10"/>
  <c r="T239" i="10"/>
  <c r="S239" i="10"/>
  <c r="T6" i="10"/>
  <c r="S6" i="10"/>
  <c r="T22" i="10"/>
  <c r="S22" i="10"/>
  <c r="T38" i="10"/>
  <c r="S38" i="10"/>
  <c r="T54" i="10"/>
  <c r="S54" i="10"/>
  <c r="T74" i="10"/>
  <c r="S74" i="10"/>
  <c r="T94" i="10"/>
  <c r="S94" i="10"/>
  <c r="T118" i="10"/>
  <c r="S118" i="10"/>
  <c r="S138" i="10"/>
  <c r="T138" i="10"/>
  <c r="T158" i="10"/>
  <c r="S158" i="10"/>
  <c r="T182" i="10"/>
  <c r="S182" i="10"/>
  <c r="S202" i="10"/>
  <c r="T202" i="10"/>
  <c r="T222" i="10"/>
  <c r="S222" i="10"/>
  <c r="T246" i="10"/>
  <c r="S246" i="10"/>
  <c r="T159" i="10"/>
  <c r="S159" i="10"/>
  <c r="T219" i="10"/>
  <c r="S219" i="10"/>
  <c r="T15" i="10"/>
  <c r="S15" i="10"/>
  <c r="T47" i="10"/>
  <c r="S47" i="10"/>
  <c r="T79" i="10"/>
  <c r="S79" i="10"/>
  <c r="T115" i="10"/>
  <c r="S115" i="10"/>
  <c r="T147" i="10"/>
  <c r="S147" i="10"/>
  <c r="T215" i="10"/>
  <c r="S215" i="10"/>
  <c r="S10" i="10"/>
  <c r="T10" i="10"/>
  <c r="S26" i="10"/>
  <c r="T26" i="10"/>
  <c r="T42" i="10"/>
  <c r="S42" i="10"/>
  <c r="T58" i="10"/>
  <c r="S58" i="10"/>
  <c r="T78" i="10"/>
  <c r="S78" i="10"/>
  <c r="T102" i="10"/>
  <c r="S102" i="10"/>
  <c r="S122" i="10"/>
  <c r="T122" i="10"/>
  <c r="T142" i="10"/>
  <c r="S142" i="10"/>
  <c r="T166" i="10"/>
  <c r="S166" i="10"/>
  <c r="S186" i="10"/>
  <c r="T186" i="10"/>
  <c r="T206" i="10"/>
  <c r="S206" i="10"/>
  <c r="T230" i="10"/>
  <c r="S230" i="10"/>
  <c r="S250" i="10"/>
  <c r="T250" i="10"/>
  <c r="S34" i="10"/>
  <c r="N252" i="10"/>
  <c r="T34" i="10"/>
  <c r="L26" i="15"/>
  <c r="M2" i="15"/>
  <c r="M26" i="15" s="1"/>
  <c r="I203" i="12"/>
  <c r="J203" i="12"/>
  <c r="D16" i="5" s="1"/>
  <c r="AO5" i="17" l="1"/>
  <c r="AO35" i="17" s="1"/>
  <c r="AV5" i="17"/>
  <c r="AV35" i="17" s="1"/>
  <c r="N203" i="12"/>
  <c r="F19" i="18" s="1"/>
  <c r="F22" i="18" s="1"/>
  <c r="CX5" i="17"/>
  <c r="CX28" i="17" s="1"/>
  <c r="CJ5" i="17"/>
  <c r="CJ28" i="17" s="1"/>
  <c r="CW5" i="17"/>
  <c r="CW28" i="17" s="1"/>
  <c r="AA5" i="17"/>
  <c r="AA35" i="17" s="1"/>
  <c r="AB5" i="17"/>
  <c r="AB28" i="17" s="1"/>
  <c r="E5" i="17"/>
  <c r="E28" i="17" s="1"/>
  <c r="U5" i="17"/>
  <c r="U28" i="17" s="1"/>
  <c r="BM5" i="17"/>
  <c r="BM28" i="17" s="1"/>
  <c r="BE5" i="17"/>
  <c r="BE35" i="17" s="1"/>
  <c r="CD5" i="17"/>
  <c r="CD28" i="17" s="1"/>
  <c r="BP5" i="17"/>
  <c r="BP28" i="17" s="1"/>
  <c r="L5" i="17"/>
  <c r="L28" i="17" s="1"/>
  <c r="T5" i="17"/>
  <c r="T35" i="17" s="1"/>
  <c r="H5" i="17"/>
  <c r="H28" i="17" s="1"/>
  <c r="P5" i="17"/>
  <c r="P35" i="17" s="1"/>
  <c r="AR5" i="17"/>
  <c r="AR28" i="17" s="1"/>
  <c r="AU35" i="17"/>
  <c r="AU28" i="17"/>
  <c r="AG5" i="17"/>
  <c r="CE5" i="17"/>
  <c r="BN5" i="17"/>
  <c r="BZ5" i="17"/>
  <c r="CP5" i="17"/>
  <c r="AD5" i="17"/>
  <c r="CI5" i="17"/>
  <c r="M5" i="17"/>
  <c r="Y5" i="17"/>
  <c r="BU5" i="17"/>
  <c r="D5" i="17"/>
  <c r="AF5" i="17"/>
  <c r="AM5" i="17"/>
  <c r="CK5" i="17"/>
  <c r="BX5" i="17"/>
  <c r="C16" i="5"/>
  <c r="F16" i="5" s="1"/>
  <c r="H16" i="5" s="1"/>
  <c r="F11" i="18"/>
  <c r="AN5" i="17"/>
  <c r="BF5" i="17"/>
  <c r="CC5" i="17"/>
  <c r="BQ5" i="17"/>
  <c r="BI5" i="17"/>
  <c r="CN5" i="17"/>
  <c r="CA5" i="17"/>
  <c r="BO5" i="17"/>
  <c r="CS5" i="17"/>
  <c r="N5" i="17"/>
  <c r="CV5" i="17"/>
  <c r="W5" i="17"/>
  <c r="K5" i="17"/>
  <c r="AQ5" i="17"/>
  <c r="X5" i="17"/>
  <c r="AJ5" i="17"/>
  <c r="AE5" i="17"/>
  <c r="BD5" i="17"/>
  <c r="BC5" i="17"/>
  <c r="BK5" i="17"/>
  <c r="CO5" i="17"/>
  <c r="BR5" i="17"/>
  <c r="BV5" i="17"/>
  <c r="AW5" i="17"/>
  <c r="AK5" i="17"/>
  <c r="CU5" i="17"/>
  <c r="BW5" i="17"/>
  <c r="Z5" i="17"/>
  <c r="BJ5" i="17"/>
  <c r="V5" i="17"/>
  <c r="BB5" i="17"/>
  <c r="CG5" i="17"/>
  <c r="AL5" i="17"/>
  <c r="AI5" i="17"/>
  <c r="S5" i="17"/>
  <c r="AS5" i="17"/>
  <c r="AH5" i="17"/>
  <c r="CY2" i="17"/>
  <c r="C5" i="17"/>
  <c r="BH5" i="17"/>
  <c r="BL5" i="17"/>
  <c r="CY3" i="17"/>
  <c r="CQ5" i="17"/>
  <c r="J5" i="17"/>
  <c r="Q5" i="17"/>
  <c r="AZ5" i="17"/>
  <c r="CH5" i="17"/>
  <c r="CF5" i="17"/>
  <c r="R5" i="17"/>
  <c r="F5" i="17"/>
  <c r="AP5" i="17"/>
  <c r="AT5" i="17"/>
  <c r="I5" i="17"/>
  <c r="BY5" i="17"/>
  <c r="CT5" i="17"/>
  <c r="CL5" i="17"/>
  <c r="AC5" i="17"/>
  <c r="O5" i="17"/>
  <c r="AY5" i="17"/>
  <c r="CB5" i="17"/>
  <c r="G5" i="17"/>
  <c r="BS5" i="17"/>
  <c r="CM5" i="17"/>
  <c r="BG5" i="17"/>
  <c r="CR5" i="17"/>
  <c r="AX5" i="17"/>
  <c r="BT5" i="17"/>
  <c r="BA5" i="17"/>
  <c r="V250" i="10"/>
  <c r="V249" i="10"/>
  <c r="V248" i="10"/>
  <c r="V247" i="10"/>
  <c r="V246" i="10"/>
  <c r="W246" i="10" s="1"/>
  <c r="V245" i="10"/>
  <c r="V244" i="10"/>
  <c r="W244" i="10" s="1"/>
  <c r="V243" i="10"/>
  <c r="V242" i="10"/>
  <c r="W242" i="10" s="1"/>
  <c r="V241" i="10"/>
  <c r="W241" i="10" s="1"/>
  <c r="V240" i="10"/>
  <c r="V239" i="10"/>
  <c r="W239" i="10" s="1"/>
  <c r="V238" i="10"/>
  <c r="W238" i="10" s="1"/>
  <c r="V237" i="10"/>
  <c r="V236" i="10"/>
  <c r="W236" i="10" s="1"/>
  <c r="V235" i="10"/>
  <c r="V234" i="10"/>
  <c r="V233" i="10"/>
  <c r="V232" i="10"/>
  <c r="V231" i="10"/>
  <c r="V230" i="10"/>
  <c r="V229" i="10"/>
  <c r="V228" i="10"/>
  <c r="V227" i="10"/>
  <c r="V226" i="10"/>
  <c r="V225" i="10"/>
  <c r="V224" i="10"/>
  <c r="V223" i="10"/>
  <c r="V222" i="10"/>
  <c r="W222" i="10" s="1"/>
  <c r="V221" i="10"/>
  <c r="V220" i="10"/>
  <c r="W220" i="10" s="1"/>
  <c r="V219" i="10"/>
  <c r="W219" i="10" s="1"/>
  <c r="V218" i="10"/>
  <c r="V217" i="10"/>
  <c r="V216" i="10"/>
  <c r="V215" i="10"/>
  <c r="W215" i="10" s="1"/>
  <c r="V214" i="10"/>
  <c r="V213" i="10"/>
  <c r="V212" i="10"/>
  <c r="V211" i="10"/>
  <c r="V210" i="10"/>
  <c r="W210" i="10" s="1"/>
  <c r="V209" i="10"/>
  <c r="W209" i="10" s="1"/>
  <c r="V208" i="10"/>
  <c r="V207" i="10"/>
  <c r="W207" i="10" s="1"/>
  <c r="V206" i="10"/>
  <c r="V205" i="10"/>
  <c r="V204" i="10"/>
  <c r="V203" i="10"/>
  <c r="W203" i="10" s="1"/>
  <c r="V202" i="10"/>
  <c r="V201" i="10"/>
  <c r="V200" i="10"/>
  <c r="V199" i="10"/>
  <c r="V198" i="10"/>
  <c r="V197" i="10"/>
  <c r="V196" i="10"/>
  <c r="V195" i="10"/>
  <c r="V194" i="10"/>
  <c r="W194" i="10" s="1"/>
  <c r="V193" i="10"/>
  <c r="V192" i="10"/>
  <c r="V191" i="10"/>
  <c r="W191" i="10" s="1"/>
  <c r="V190" i="10"/>
  <c r="V189" i="10"/>
  <c r="V188" i="10"/>
  <c r="V187" i="10"/>
  <c r="W187" i="10" s="1"/>
  <c r="V186" i="10"/>
  <c r="V185" i="10"/>
  <c r="V184" i="10"/>
  <c r="V183" i="10"/>
  <c r="V182" i="10"/>
  <c r="W182" i="10" s="1"/>
  <c r="V181" i="10"/>
  <c r="V180" i="10"/>
  <c r="W180" i="10" s="1"/>
  <c r="X180" i="10" s="1"/>
  <c r="V179" i="10"/>
  <c r="V178" i="10"/>
  <c r="W178" i="10" s="1"/>
  <c r="V177" i="10"/>
  <c r="V176" i="10"/>
  <c r="W176" i="10" s="1"/>
  <c r="V175" i="10"/>
  <c r="V174" i="10"/>
  <c r="W174" i="10" s="1"/>
  <c r="X174" i="10" s="1"/>
  <c r="V173" i="10"/>
  <c r="V172" i="10"/>
  <c r="W172" i="10" s="1"/>
  <c r="V171" i="10"/>
  <c r="V170" i="10"/>
  <c r="W170" i="10" s="1"/>
  <c r="V169" i="10"/>
  <c r="V168" i="10"/>
  <c r="W168" i="10"/>
  <c r="X168" i="10" s="1"/>
  <c r="V167" i="10"/>
  <c r="V166" i="10"/>
  <c r="V165" i="10"/>
  <c r="V164" i="10"/>
  <c r="V163" i="10"/>
  <c r="V162" i="10"/>
  <c r="V161" i="10"/>
  <c r="V160" i="10"/>
  <c r="V159" i="10"/>
  <c r="V158" i="10"/>
  <c r="V157" i="10"/>
  <c r="V156" i="10"/>
  <c r="V155" i="10"/>
  <c r="V154" i="10"/>
  <c r="V153" i="10"/>
  <c r="V152" i="10"/>
  <c r="V151" i="10"/>
  <c r="V150" i="10"/>
  <c r="V149" i="10"/>
  <c r="V148" i="10"/>
  <c r="V147" i="10"/>
  <c r="V146" i="10"/>
  <c r="V145" i="10"/>
  <c r="W145" i="10" s="1"/>
  <c r="V144" i="10"/>
  <c r="V143" i="10"/>
  <c r="W143" i="10" s="1"/>
  <c r="V142" i="10"/>
  <c r="W142" i="10" s="1"/>
  <c r="V141" i="10"/>
  <c r="W141" i="10" s="1"/>
  <c r="V140" i="10"/>
  <c r="V139" i="10"/>
  <c r="W139" i="10" s="1"/>
  <c r="X139" i="10" s="1"/>
  <c r="V138" i="10"/>
  <c r="V137" i="10"/>
  <c r="W137" i="10" s="1"/>
  <c r="X137" i="10" s="1"/>
  <c r="V136" i="10"/>
  <c r="V135" i="10"/>
  <c r="W135" i="10" s="1"/>
  <c r="V134" i="10"/>
  <c r="W134" i="10" s="1"/>
  <c r="V133" i="10"/>
  <c r="W133" i="10"/>
  <c r="V132" i="10"/>
  <c r="V131" i="10"/>
  <c r="W131" i="10" s="1"/>
  <c r="X131" i="10" s="1"/>
  <c r="V130" i="10"/>
  <c r="V129" i="10"/>
  <c r="W129" i="10" s="1"/>
  <c r="X129" i="10" s="1"/>
  <c r="V128" i="10"/>
  <c r="V127" i="10"/>
  <c r="W127" i="10" s="1"/>
  <c r="V126" i="10"/>
  <c r="W126" i="10" s="1"/>
  <c r="V125" i="10"/>
  <c r="W125" i="10" s="1"/>
  <c r="V124" i="10"/>
  <c r="V123" i="10"/>
  <c r="W123" i="10" s="1"/>
  <c r="X123" i="10" s="1"/>
  <c r="V122" i="10"/>
  <c r="V121" i="10"/>
  <c r="W121" i="10" s="1"/>
  <c r="X121" i="10" s="1"/>
  <c r="V120" i="10"/>
  <c r="V119" i="10"/>
  <c r="W119" i="10" s="1"/>
  <c r="V118" i="10"/>
  <c r="W118" i="10" s="1"/>
  <c r="V117" i="10"/>
  <c r="W117" i="10" s="1"/>
  <c r="V116" i="10"/>
  <c r="V115" i="10"/>
  <c r="W115" i="10" s="1"/>
  <c r="X115" i="10" s="1"/>
  <c r="V114" i="10"/>
  <c r="V113" i="10"/>
  <c r="W113" i="10" s="1"/>
  <c r="V112" i="10"/>
  <c r="V111" i="10"/>
  <c r="W111" i="10" s="1"/>
  <c r="V110" i="10"/>
  <c r="W110" i="10" s="1"/>
  <c r="V109" i="10"/>
  <c r="W109" i="10" s="1"/>
  <c r="V108" i="10"/>
  <c r="V107" i="10"/>
  <c r="W107" i="10" s="1"/>
  <c r="X107" i="10" s="1"/>
  <c r="V106" i="10"/>
  <c r="V105" i="10"/>
  <c r="W105" i="10" s="1"/>
  <c r="V104" i="10"/>
  <c r="V103" i="10"/>
  <c r="W103" i="10" s="1"/>
  <c r="V102" i="10"/>
  <c r="W102" i="10" s="1"/>
  <c r="V101" i="10"/>
  <c r="W101" i="10" s="1"/>
  <c r="V100" i="10"/>
  <c r="V99" i="10"/>
  <c r="W99" i="10" s="1"/>
  <c r="X99" i="10" s="1"/>
  <c r="V98" i="10"/>
  <c r="V97" i="10"/>
  <c r="W97" i="10" s="1"/>
  <c r="V96" i="10"/>
  <c r="V95" i="10"/>
  <c r="W95" i="10" s="1"/>
  <c r="V94" i="10"/>
  <c r="W94" i="10" s="1"/>
  <c r="V93" i="10"/>
  <c r="W93" i="10" s="1"/>
  <c r="V92" i="10"/>
  <c r="V91" i="10"/>
  <c r="W91" i="10" s="1"/>
  <c r="X91" i="10" s="1"/>
  <c r="V90" i="10"/>
  <c r="V89" i="10"/>
  <c r="W89" i="10" s="1"/>
  <c r="V88" i="10"/>
  <c r="V87" i="10"/>
  <c r="V86" i="10"/>
  <c r="V85" i="10"/>
  <c r="V84" i="10"/>
  <c r="V83" i="10"/>
  <c r="V82" i="10"/>
  <c r="V81" i="10"/>
  <c r="V80" i="10"/>
  <c r="V79" i="10"/>
  <c r="V78" i="10"/>
  <c r="V77" i="10"/>
  <c r="W77" i="10" s="1"/>
  <c r="X77" i="10" s="1"/>
  <c r="V76" i="10"/>
  <c r="W76" i="10" s="1"/>
  <c r="V75" i="10"/>
  <c r="V74" i="10"/>
  <c r="V73" i="10"/>
  <c r="W73" i="10" s="1"/>
  <c r="V72" i="10"/>
  <c r="V71" i="10"/>
  <c r="W71" i="10" s="1"/>
  <c r="V70" i="10"/>
  <c r="V69" i="10"/>
  <c r="V68" i="10"/>
  <c r="V67" i="10"/>
  <c r="W67" i="10" s="1"/>
  <c r="V66" i="10"/>
  <c r="V65" i="10"/>
  <c r="V64" i="10"/>
  <c r="V63" i="10"/>
  <c r="V62" i="10"/>
  <c r="V61" i="10"/>
  <c r="V60" i="10"/>
  <c r="V59" i="10"/>
  <c r="V58" i="10"/>
  <c r="V57" i="10"/>
  <c r="V56" i="10"/>
  <c r="W56" i="10" s="1"/>
  <c r="V55" i="10"/>
  <c r="V54" i="10"/>
  <c r="W54" i="10" s="1"/>
  <c r="X54" i="10" s="1"/>
  <c r="V53" i="10"/>
  <c r="V52" i="10"/>
  <c r="W52" i="10" s="1"/>
  <c r="V51" i="10"/>
  <c r="V50" i="10"/>
  <c r="V49" i="10"/>
  <c r="V48" i="10"/>
  <c r="V47" i="10"/>
  <c r="V46" i="10"/>
  <c r="W46" i="10" s="1"/>
  <c r="V45" i="10"/>
  <c r="V44" i="10"/>
  <c r="W44" i="10" s="1"/>
  <c r="V43" i="10"/>
  <c r="V42" i="10"/>
  <c r="V41" i="10"/>
  <c r="V40" i="10"/>
  <c r="W40" i="10" s="1"/>
  <c r="X40" i="10" s="1"/>
  <c r="V39" i="10"/>
  <c r="V38" i="10"/>
  <c r="V37" i="10"/>
  <c r="V36" i="10"/>
  <c r="W36" i="10" s="1"/>
  <c r="V35" i="10"/>
  <c r="V34" i="10"/>
  <c r="W34" i="10" s="1"/>
  <c r="V33" i="10"/>
  <c r="V32" i="10"/>
  <c r="V31" i="10"/>
  <c r="V30" i="10"/>
  <c r="W30" i="10" s="1"/>
  <c r="V29" i="10"/>
  <c r="V28" i="10"/>
  <c r="W28" i="10" s="1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W9" i="10" s="1"/>
  <c r="V8" i="10"/>
  <c r="V7" i="10"/>
  <c r="V6" i="10"/>
  <c r="V5" i="10"/>
  <c r="V4" i="10"/>
  <c r="V3" i="10"/>
  <c r="V2" i="10"/>
  <c r="H14" i="9"/>
  <c r="D5" i="5" s="1"/>
  <c r="D14" i="9"/>
  <c r="B5" i="5" s="1"/>
  <c r="G14" i="6" s="1"/>
  <c r="G14" i="9"/>
  <c r="C5" i="5" s="1"/>
  <c r="F3" i="7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F14" i="7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F213" i="7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" i="7"/>
  <c r="F2" i="7" s="1"/>
  <c r="I9" i="7"/>
  <c r="I17" i="7"/>
  <c r="I25" i="7"/>
  <c r="I41" i="7"/>
  <c r="I49" i="7"/>
  <c r="I57" i="7"/>
  <c r="I65" i="7"/>
  <c r="I73" i="7"/>
  <c r="I81" i="7"/>
  <c r="I89" i="7"/>
  <c r="I169" i="7"/>
  <c r="I185" i="7"/>
  <c r="I225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M235" i="7" s="1"/>
  <c r="L234" i="7"/>
  <c r="L233" i="7"/>
  <c r="M233" i="7" s="1"/>
  <c r="L232" i="7"/>
  <c r="L231" i="7"/>
  <c r="L230" i="7"/>
  <c r="L229" i="7"/>
  <c r="L228" i="7"/>
  <c r="L227" i="7"/>
  <c r="M227" i="7" s="1"/>
  <c r="L226" i="7"/>
  <c r="L225" i="7"/>
  <c r="L224" i="7"/>
  <c r="L223" i="7"/>
  <c r="M223" i="7" s="1"/>
  <c r="L222" i="7"/>
  <c r="L221" i="7"/>
  <c r="L220" i="7"/>
  <c r="L219" i="7"/>
  <c r="M219" i="7" s="1"/>
  <c r="L218" i="7"/>
  <c r="L217" i="7"/>
  <c r="L216" i="7"/>
  <c r="L215" i="7"/>
  <c r="M215" i="7" s="1"/>
  <c r="L214" i="7"/>
  <c r="L213" i="7"/>
  <c r="L212" i="7"/>
  <c r="L211" i="7"/>
  <c r="M211" i="7" s="1"/>
  <c r="L210" i="7"/>
  <c r="L209" i="7"/>
  <c r="L208" i="7"/>
  <c r="L207" i="7"/>
  <c r="M207" i="7" s="1"/>
  <c r="L206" i="7"/>
  <c r="L205" i="7"/>
  <c r="L204" i="7"/>
  <c r="L203" i="7"/>
  <c r="M203" i="7" s="1"/>
  <c r="L202" i="7"/>
  <c r="L201" i="7"/>
  <c r="L200" i="7"/>
  <c r="L199" i="7"/>
  <c r="M199" i="7" s="1"/>
  <c r="L198" i="7"/>
  <c r="L197" i="7"/>
  <c r="L196" i="7"/>
  <c r="L195" i="7"/>
  <c r="M195" i="7" s="1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M161" i="7" s="1"/>
  <c r="L160" i="7"/>
  <c r="L159" i="7"/>
  <c r="L158" i="7"/>
  <c r="L157" i="7"/>
  <c r="M157" i="7" s="1"/>
  <c r="L156" i="7"/>
  <c r="M156" i="7" s="1"/>
  <c r="L155" i="7"/>
  <c r="M155" i="7" s="1"/>
  <c r="L154" i="7"/>
  <c r="M154" i="7" s="1"/>
  <c r="L153" i="7"/>
  <c r="M153" i="7" s="1"/>
  <c r="L152" i="7"/>
  <c r="L151" i="7"/>
  <c r="M151" i="7" s="1"/>
  <c r="L150" i="7"/>
  <c r="M150" i="7" s="1"/>
  <c r="L149" i="7"/>
  <c r="M149" i="7" s="1"/>
  <c r="L148" i="7"/>
  <c r="M148" i="7" s="1"/>
  <c r="L147" i="7"/>
  <c r="L146" i="7"/>
  <c r="L145" i="7"/>
  <c r="M145" i="7" s="1"/>
  <c r="L144" i="7"/>
  <c r="M144" i="7" s="1"/>
  <c r="L143" i="7"/>
  <c r="M143" i="7" s="1"/>
  <c r="L142" i="7"/>
  <c r="M142" i="7" s="1"/>
  <c r="L141" i="7"/>
  <c r="L140" i="7"/>
  <c r="M140" i="7" s="1"/>
  <c r="L139" i="7"/>
  <c r="M139" i="7" s="1"/>
  <c r="L138" i="7"/>
  <c r="L137" i="7"/>
  <c r="M137" i="7" s="1"/>
  <c r="L136" i="7"/>
  <c r="L135" i="7"/>
  <c r="L134" i="7"/>
  <c r="L133" i="7"/>
  <c r="M133" i="7" s="1"/>
  <c r="L132" i="7"/>
  <c r="M132" i="7" s="1"/>
  <c r="L131" i="7"/>
  <c r="M131" i="7"/>
  <c r="L130" i="7"/>
  <c r="M130" i="7" s="1"/>
  <c r="L129" i="7"/>
  <c r="L128" i="7"/>
  <c r="L127" i="7"/>
  <c r="M127" i="7" s="1"/>
  <c r="L126" i="7"/>
  <c r="L125" i="7"/>
  <c r="L124" i="7"/>
  <c r="M124" i="7" s="1"/>
  <c r="L123" i="7"/>
  <c r="M123" i="7"/>
  <c r="L122" i="7"/>
  <c r="M122" i="7" s="1"/>
  <c r="L121" i="7"/>
  <c r="M121" i="7" s="1"/>
  <c r="L120" i="7"/>
  <c r="L119" i="7"/>
  <c r="M119" i="7" s="1"/>
  <c r="L118" i="7"/>
  <c r="M118" i="7" s="1"/>
  <c r="L117" i="7"/>
  <c r="M117" i="7" s="1"/>
  <c r="L116" i="7"/>
  <c r="M116" i="7" s="1"/>
  <c r="L115" i="7"/>
  <c r="M115" i="7"/>
  <c r="L114" i="7"/>
  <c r="L113" i="7"/>
  <c r="M113" i="7" s="1"/>
  <c r="L112" i="7"/>
  <c r="L111" i="7"/>
  <c r="M111" i="7" s="1"/>
  <c r="L110" i="7"/>
  <c r="M110" i="7" s="1"/>
  <c r="L109" i="7"/>
  <c r="L108" i="7"/>
  <c r="M108" i="7" s="1"/>
  <c r="L107" i="7"/>
  <c r="M107" i="7"/>
  <c r="L106" i="7"/>
  <c r="M106" i="7" s="1"/>
  <c r="L105" i="7"/>
  <c r="M105" i="7" s="1"/>
  <c r="L104" i="7"/>
  <c r="L103" i="7"/>
  <c r="L102" i="7"/>
  <c r="L101" i="7"/>
  <c r="L100" i="7"/>
  <c r="L99" i="7"/>
  <c r="M99" i="7" s="1"/>
  <c r="L98" i="7"/>
  <c r="L97" i="7"/>
  <c r="L96" i="7"/>
  <c r="L95" i="7"/>
  <c r="L94" i="7"/>
  <c r="L93" i="7"/>
  <c r="L92" i="7"/>
  <c r="L91" i="7"/>
  <c r="M91" i="7" s="1"/>
  <c r="L90" i="7"/>
  <c r="L89" i="7"/>
  <c r="L88" i="7"/>
  <c r="L87" i="7"/>
  <c r="L86" i="7"/>
  <c r="L85" i="7"/>
  <c r="L84" i="7"/>
  <c r="L83" i="7"/>
  <c r="M83" i="7" s="1"/>
  <c r="L82" i="7"/>
  <c r="L81" i="7"/>
  <c r="L80" i="7"/>
  <c r="L79" i="7"/>
  <c r="L78" i="7"/>
  <c r="L77" i="7"/>
  <c r="L76" i="7"/>
  <c r="L75" i="7"/>
  <c r="M75" i="7" s="1"/>
  <c r="L74" i="7"/>
  <c r="L73" i="7"/>
  <c r="L72" i="7"/>
  <c r="L71" i="7"/>
  <c r="L70" i="7"/>
  <c r="L69" i="7"/>
  <c r="L68" i="7"/>
  <c r="L67" i="7"/>
  <c r="M67" i="7" s="1"/>
  <c r="L66" i="7"/>
  <c r="L65" i="7"/>
  <c r="L64" i="7"/>
  <c r="L63" i="7"/>
  <c r="L62" i="7"/>
  <c r="L61" i="7"/>
  <c r="L60" i="7"/>
  <c r="L59" i="7"/>
  <c r="M59" i="7" s="1"/>
  <c r="L58" i="7"/>
  <c r="L57" i="7"/>
  <c r="L56" i="7"/>
  <c r="L55" i="7"/>
  <c r="L54" i="7"/>
  <c r="L53" i="7"/>
  <c r="L52" i="7"/>
  <c r="L51" i="7"/>
  <c r="M51" i="7" s="1"/>
  <c r="L50" i="7"/>
  <c r="L49" i="7"/>
  <c r="L48" i="7"/>
  <c r="L47" i="7"/>
  <c r="L46" i="7"/>
  <c r="L45" i="7"/>
  <c r="L44" i="7"/>
  <c r="L43" i="7"/>
  <c r="M43" i="7" s="1"/>
  <c r="L42" i="7"/>
  <c r="L41" i="7"/>
  <c r="L40" i="7"/>
  <c r="L39" i="7"/>
  <c r="L38" i="7"/>
  <c r="L37" i="7"/>
  <c r="L36" i="7"/>
  <c r="L35" i="7"/>
  <c r="M35" i="7" s="1"/>
  <c r="L34" i="7"/>
  <c r="L33" i="7"/>
  <c r="L32" i="7"/>
  <c r="L31" i="7"/>
  <c r="L30" i="7"/>
  <c r="L29" i="7"/>
  <c r="L28" i="7"/>
  <c r="L27" i="7"/>
  <c r="M27" i="7" s="1"/>
  <c r="L26" i="7"/>
  <c r="L25" i="7"/>
  <c r="L24" i="7"/>
  <c r="L23" i="7"/>
  <c r="L22" i="7"/>
  <c r="L21" i="7"/>
  <c r="L20" i="7"/>
  <c r="L19" i="7"/>
  <c r="M19" i="7" s="1"/>
  <c r="L18" i="7"/>
  <c r="L17" i="7"/>
  <c r="L16" i="7"/>
  <c r="L15" i="7"/>
  <c r="L14" i="7"/>
  <c r="L13" i="7"/>
  <c r="L12" i="7"/>
  <c r="L11" i="7"/>
  <c r="M11" i="7" s="1"/>
  <c r="L10" i="7"/>
  <c r="L9" i="7"/>
  <c r="L8" i="7"/>
  <c r="L7" i="7"/>
  <c r="L6" i="7"/>
  <c r="L5" i="7"/>
  <c r="L4" i="7"/>
  <c r="L3" i="7"/>
  <c r="M3" i="7" s="1"/>
  <c r="L2" i="7"/>
  <c r="C13" i="6"/>
  <c r="C27" i="6" s="1"/>
  <c r="M8" i="7" l="1"/>
  <c r="BE28" i="17"/>
  <c r="CX35" i="17"/>
  <c r="I61" i="7"/>
  <c r="M53" i="7"/>
  <c r="N53" i="7" s="1"/>
  <c r="O53" i="7" s="1"/>
  <c r="AO28" i="17"/>
  <c r="I50" i="7"/>
  <c r="M92" i="7"/>
  <c r="N92" i="7" s="1"/>
  <c r="O92" i="7" s="1"/>
  <c r="M197" i="7"/>
  <c r="I205" i="7"/>
  <c r="CJ35" i="17"/>
  <c r="CW35" i="17"/>
  <c r="I101" i="7"/>
  <c r="I93" i="7"/>
  <c r="I85" i="7"/>
  <c r="I77" i="7"/>
  <c r="I69" i="7"/>
  <c r="I53" i="7"/>
  <c r="I45" i="7"/>
  <c r="I37" i="7"/>
  <c r="I29" i="7"/>
  <c r="I21" i="7"/>
  <c r="I13" i="7"/>
  <c r="I5" i="7"/>
  <c r="AV28" i="17"/>
  <c r="N204" i="12"/>
  <c r="E35" i="17"/>
  <c r="CD35" i="17"/>
  <c r="H35" i="17"/>
  <c r="AB35" i="17"/>
  <c r="AA28" i="17"/>
  <c r="T28" i="17"/>
  <c r="U35" i="17"/>
  <c r="P28" i="17"/>
  <c r="BM35" i="17"/>
  <c r="AR35" i="17"/>
  <c r="L35" i="17"/>
  <c r="M248" i="7"/>
  <c r="N248" i="7" s="1"/>
  <c r="O248" i="7" s="1"/>
  <c r="BP35" i="17"/>
  <c r="AE28" i="17"/>
  <c r="AE35" i="17"/>
  <c r="M28" i="17"/>
  <c r="M35" i="17"/>
  <c r="M61" i="7"/>
  <c r="N61" i="7" s="1"/>
  <c r="O61" i="7" s="1"/>
  <c r="M205" i="7"/>
  <c r="BS35" i="17"/>
  <c r="BS28" i="17"/>
  <c r="CF28" i="17"/>
  <c r="CF35" i="17"/>
  <c r="AS28" i="17"/>
  <c r="AS35" i="17"/>
  <c r="AW35" i="17"/>
  <c r="AW28" i="17"/>
  <c r="CN28" i="17"/>
  <c r="CN35" i="17"/>
  <c r="CI28" i="17"/>
  <c r="CI35" i="17"/>
  <c r="AG35" i="17"/>
  <c r="AG28" i="17"/>
  <c r="CM28" i="17"/>
  <c r="CM35" i="17"/>
  <c r="R35" i="17"/>
  <c r="R28" i="17"/>
  <c r="AH28" i="17"/>
  <c r="AH35" i="17"/>
  <c r="CA35" i="17"/>
  <c r="CA28" i="17"/>
  <c r="M5" i="7"/>
  <c r="N5" i="7" s="1"/>
  <c r="O5" i="7" s="1"/>
  <c r="M69" i="7"/>
  <c r="G35" i="17"/>
  <c r="G28" i="17"/>
  <c r="CT35" i="17"/>
  <c r="CT28" i="17"/>
  <c r="CH28" i="17"/>
  <c r="CH35" i="17"/>
  <c r="S28" i="17"/>
  <c r="S35" i="17"/>
  <c r="BV28" i="17"/>
  <c r="BV35" i="17"/>
  <c r="BI28" i="17"/>
  <c r="BI35" i="17"/>
  <c r="AD35" i="17"/>
  <c r="AD28" i="17"/>
  <c r="K28" i="17"/>
  <c r="K35" i="17"/>
  <c r="BA28" i="17"/>
  <c r="BA35" i="17"/>
  <c r="CB35" i="17"/>
  <c r="CB28" i="17"/>
  <c r="BY28" i="17"/>
  <c r="BY35" i="17"/>
  <c r="AZ28" i="17"/>
  <c r="AZ35" i="17"/>
  <c r="AI28" i="17"/>
  <c r="AI35" i="17"/>
  <c r="BR35" i="17"/>
  <c r="BR28" i="17"/>
  <c r="W28" i="17"/>
  <c r="W35" i="17"/>
  <c r="BQ28" i="17"/>
  <c r="BQ35" i="17"/>
  <c r="BX28" i="17"/>
  <c r="BX35" i="17"/>
  <c r="AM35" i="17"/>
  <c r="AM28" i="17"/>
  <c r="CP28" i="17"/>
  <c r="CP35" i="17"/>
  <c r="BJ35" i="17"/>
  <c r="BJ28" i="17"/>
  <c r="M85" i="7"/>
  <c r="N85" i="7" s="1"/>
  <c r="O85" i="7" s="1"/>
  <c r="BT35" i="17"/>
  <c r="BT28" i="17"/>
  <c r="AY28" i="17"/>
  <c r="AY35" i="17"/>
  <c r="I35" i="17"/>
  <c r="I28" i="17"/>
  <c r="Q35" i="17"/>
  <c r="Q28" i="17"/>
  <c r="BL35" i="17"/>
  <c r="BL28" i="17"/>
  <c r="AL35" i="17"/>
  <c r="AL28" i="17"/>
  <c r="CO28" i="17"/>
  <c r="CO35" i="17"/>
  <c r="CV28" i="17"/>
  <c r="CV35" i="17"/>
  <c r="CC35" i="17"/>
  <c r="CC28" i="17"/>
  <c r="CK35" i="17"/>
  <c r="CK28" i="17"/>
  <c r="AF35" i="17"/>
  <c r="AF28" i="17"/>
  <c r="BZ35" i="17"/>
  <c r="BZ28" i="17"/>
  <c r="M125" i="7"/>
  <c r="N125" i="7" s="1"/>
  <c r="O125" i="7" s="1"/>
  <c r="M21" i="7"/>
  <c r="N21" i="7" s="1"/>
  <c r="O21" i="7" s="1"/>
  <c r="M29" i="7"/>
  <c r="M93" i="7"/>
  <c r="N93" i="7" s="1"/>
  <c r="O93" i="7" s="1"/>
  <c r="M141" i="7"/>
  <c r="N141" i="7" s="1"/>
  <c r="O141" i="7" s="1"/>
  <c r="AX35" i="17"/>
  <c r="AX28" i="17"/>
  <c r="O35" i="17"/>
  <c r="O28" i="17"/>
  <c r="AT35" i="17"/>
  <c r="AT28" i="17"/>
  <c r="J28" i="17"/>
  <c r="J35" i="17"/>
  <c r="BH28" i="17"/>
  <c r="BH35" i="17"/>
  <c r="CG28" i="17"/>
  <c r="CG35" i="17"/>
  <c r="Z35" i="17"/>
  <c r="Z28" i="17"/>
  <c r="BK28" i="17"/>
  <c r="BK35" i="17"/>
  <c r="AJ28" i="17"/>
  <c r="AJ35" i="17"/>
  <c r="N35" i="17"/>
  <c r="N28" i="17"/>
  <c r="BF35" i="17"/>
  <c r="BF28" i="17"/>
  <c r="D35" i="17"/>
  <c r="D28" i="17"/>
  <c r="BN28" i="17"/>
  <c r="BN35" i="17"/>
  <c r="AK28" i="17"/>
  <c r="AK35" i="17"/>
  <c r="M13" i="7"/>
  <c r="N13" i="7" s="1"/>
  <c r="O13" i="7" s="1"/>
  <c r="M37" i="7"/>
  <c r="N37" i="7" s="1"/>
  <c r="O37" i="7" s="1"/>
  <c r="CR35" i="17"/>
  <c r="CR28" i="17"/>
  <c r="AC28" i="17"/>
  <c r="AC35" i="17"/>
  <c r="AP28" i="17"/>
  <c r="AP35" i="17"/>
  <c r="CQ28" i="17"/>
  <c r="CQ35" i="17"/>
  <c r="C28" i="17"/>
  <c r="C30" i="17" s="1"/>
  <c r="D26" i="17" s="1"/>
  <c r="C35" i="17"/>
  <c r="C6" i="17"/>
  <c r="C7" i="17" s="1"/>
  <c r="D7" i="17" s="1"/>
  <c r="E7" i="17" s="1"/>
  <c r="F7" i="17" s="1"/>
  <c r="G7" i="17" s="1"/>
  <c r="H7" i="17" s="1"/>
  <c r="I7" i="17" s="1"/>
  <c r="J7" i="17" s="1"/>
  <c r="K7" i="17" s="1"/>
  <c r="L7" i="17" s="1"/>
  <c r="M7" i="17" s="1"/>
  <c r="N7" i="17" s="1"/>
  <c r="O7" i="17" s="1"/>
  <c r="P7" i="17" s="1"/>
  <c r="Q7" i="17" s="1"/>
  <c r="R7" i="17" s="1"/>
  <c r="S7" i="17" s="1"/>
  <c r="T7" i="17" s="1"/>
  <c r="U7" i="17" s="1"/>
  <c r="V7" i="17" s="1"/>
  <c r="W7" i="17" s="1"/>
  <c r="X7" i="17" s="1"/>
  <c r="Y7" i="17" s="1"/>
  <c r="Z7" i="17" s="1"/>
  <c r="AA7" i="17" s="1"/>
  <c r="AB7" i="17" s="1"/>
  <c r="AC7" i="17" s="1"/>
  <c r="AD7" i="17" s="1"/>
  <c r="AE7" i="17" s="1"/>
  <c r="AF7" i="17" s="1"/>
  <c r="AG7" i="17" s="1"/>
  <c r="AH7" i="17" s="1"/>
  <c r="AI7" i="17" s="1"/>
  <c r="AJ7" i="17" s="1"/>
  <c r="AK7" i="17" s="1"/>
  <c r="AL7" i="17" s="1"/>
  <c r="AM7" i="17" s="1"/>
  <c r="AN7" i="17" s="1"/>
  <c r="AO7" i="17" s="1"/>
  <c r="AP7" i="17" s="1"/>
  <c r="AQ7" i="17" s="1"/>
  <c r="AR7" i="17" s="1"/>
  <c r="AS7" i="17" s="1"/>
  <c r="AT7" i="17" s="1"/>
  <c r="AU7" i="17" s="1"/>
  <c r="AV7" i="17" s="1"/>
  <c r="AW7" i="17" s="1"/>
  <c r="AX7" i="17" s="1"/>
  <c r="AY7" i="17" s="1"/>
  <c r="AZ7" i="17" s="1"/>
  <c r="BA7" i="17" s="1"/>
  <c r="BB7" i="17" s="1"/>
  <c r="BC7" i="17" s="1"/>
  <c r="BD7" i="17" s="1"/>
  <c r="BE7" i="17" s="1"/>
  <c r="BF7" i="17" s="1"/>
  <c r="BG7" i="17" s="1"/>
  <c r="BH7" i="17" s="1"/>
  <c r="BI7" i="17" s="1"/>
  <c r="BJ7" i="17" s="1"/>
  <c r="BK7" i="17" s="1"/>
  <c r="BL7" i="17" s="1"/>
  <c r="BM7" i="17" s="1"/>
  <c r="BN7" i="17" s="1"/>
  <c r="BO7" i="17" s="1"/>
  <c r="BP7" i="17" s="1"/>
  <c r="BQ7" i="17" s="1"/>
  <c r="BR7" i="17" s="1"/>
  <c r="BS7" i="17" s="1"/>
  <c r="BT7" i="17" s="1"/>
  <c r="BU7" i="17" s="1"/>
  <c r="BV7" i="17" s="1"/>
  <c r="BW7" i="17" s="1"/>
  <c r="BX7" i="17" s="1"/>
  <c r="BY7" i="17" s="1"/>
  <c r="BZ7" i="17" s="1"/>
  <c r="CA7" i="17" s="1"/>
  <c r="CB7" i="17" s="1"/>
  <c r="CC7" i="17" s="1"/>
  <c r="CD7" i="17" s="1"/>
  <c r="CE7" i="17" s="1"/>
  <c r="CF7" i="17" s="1"/>
  <c r="CG7" i="17" s="1"/>
  <c r="CH7" i="17" s="1"/>
  <c r="CI7" i="17" s="1"/>
  <c r="CJ7" i="17" s="1"/>
  <c r="CK7" i="17" s="1"/>
  <c r="CL7" i="17" s="1"/>
  <c r="CM7" i="17" s="1"/>
  <c r="CN7" i="17" s="1"/>
  <c r="CO7" i="17" s="1"/>
  <c r="CP7" i="17" s="1"/>
  <c r="CQ7" i="17" s="1"/>
  <c r="CR7" i="17" s="1"/>
  <c r="CS7" i="17" s="1"/>
  <c r="CT7" i="17" s="1"/>
  <c r="CU7" i="17" s="1"/>
  <c r="CV7" i="17" s="1"/>
  <c r="CW7" i="17" s="1"/>
  <c r="CX7" i="17" s="1"/>
  <c r="BB28" i="17"/>
  <c r="BB35" i="17"/>
  <c r="BW28" i="17"/>
  <c r="BW35" i="17"/>
  <c r="BC28" i="17"/>
  <c r="BC35" i="17"/>
  <c r="X35" i="17"/>
  <c r="X28" i="17"/>
  <c r="CS35" i="17"/>
  <c r="CS28" i="17"/>
  <c r="AN35" i="17"/>
  <c r="AN28" i="17"/>
  <c r="BU35" i="17"/>
  <c r="BU28" i="17"/>
  <c r="CE28" i="17"/>
  <c r="CE35" i="17"/>
  <c r="M77" i="7"/>
  <c r="N77" i="7" s="1"/>
  <c r="O77" i="7" s="1"/>
  <c r="M101" i="7"/>
  <c r="N101" i="7" s="1"/>
  <c r="O101" i="7" s="1"/>
  <c r="M45" i="7"/>
  <c r="N45" i="7" s="1"/>
  <c r="O45" i="7" s="1"/>
  <c r="M109" i="7"/>
  <c r="N109" i="7" s="1"/>
  <c r="O109" i="7" s="1"/>
  <c r="M173" i="7"/>
  <c r="M181" i="7"/>
  <c r="N181" i="7" s="1"/>
  <c r="O181" i="7" s="1"/>
  <c r="M189" i="7"/>
  <c r="N189" i="7" s="1"/>
  <c r="O189" i="7" s="1"/>
  <c r="BG35" i="17"/>
  <c r="BG28" i="17"/>
  <c r="CL35" i="17"/>
  <c r="CL28" i="17"/>
  <c r="F35" i="17"/>
  <c r="F28" i="17"/>
  <c r="CY5" i="17"/>
  <c r="V28" i="17"/>
  <c r="V35" i="17"/>
  <c r="CU35" i="17"/>
  <c r="CU28" i="17"/>
  <c r="BD35" i="17"/>
  <c r="BD28" i="17"/>
  <c r="AQ28" i="17"/>
  <c r="AQ35" i="17"/>
  <c r="BO28" i="17"/>
  <c r="BO35" i="17"/>
  <c r="C34" i="17"/>
  <c r="D34" i="17" s="1"/>
  <c r="E34" i="17" s="1"/>
  <c r="F34" i="17" s="1"/>
  <c r="G34" i="17" s="1"/>
  <c r="H34" i="17" s="1"/>
  <c r="I34" i="17" s="1"/>
  <c r="J34" i="17" s="1"/>
  <c r="K34" i="17" s="1"/>
  <c r="L34" i="17" s="1"/>
  <c r="M34" i="17" s="1"/>
  <c r="N34" i="17" s="1"/>
  <c r="O34" i="17" s="1"/>
  <c r="P34" i="17" s="1"/>
  <c r="Q34" i="17" s="1"/>
  <c r="R34" i="17" s="1"/>
  <c r="S34" i="17" s="1"/>
  <c r="T34" i="17" s="1"/>
  <c r="U34" i="17" s="1"/>
  <c r="V34" i="17" s="1"/>
  <c r="W34" i="17" s="1"/>
  <c r="X34" i="17" s="1"/>
  <c r="Y34" i="17" s="1"/>
  <c r="Z34" i="17" s="1"/>
  <c r="AA34" i="17" s="1"/>
  <c r="AB34" i="17" s="1"/>
  <c r="AC34" i="17" s="1"/>
  <c r="AD34" i="17" s="1"/>
  <c r="AE34" i="17" s="1"/>
  <c r="AF34" i="17" s="1"/>
  <c r="AG34" i="17" s="1"/>
  <c r="AH34" i="17" s="1"/>
  <c r="AI34" i="17" s="1"/>
  <c r="AJ34" i="17" s="1"/>
  <c r="AK34" i="17" s="1"/>
  <c r="AL34" i="17" s="1"/>
  <c r="AM34" i="17" s="1"/>
  <c r="AN34" i="17" s="1"/>
  <c r="AO34" i="17" s="1"/>
  <c r="AP34" i="17" s="1"/>
  <c r="AQ34" i="17" s="1"/>
  <c r="AR34" i="17" s="1"/>
  <c r="AS34" i="17" s="1"/>
  <c r="AT34" i="17" s="1"/>
  <c r="AU34" i="17" s="1"/>
  <c r="AV34" i="17" s="1"/>
  <c r="AW34" i="17" s="1"/>
  <c r="AX34" i="17" s="1"/>
  <c r="AY34" i="17" s="1"/>
  <c r="AZ34" i="17" s="1"/>
  <c r="BA34" i="17" s="1"/>
  <c r="BB34" i="17" s="1"/>
  <c r="BC34" i="17" s="1"/>
  <c r="BD34" i="17" s="1"/>
  <c r="BE34" i="17" s="1"/>
  <c r="BF34" i="17" s="1"/>
  <c r="BG34" i="17" s="1"/>
  <c r="BH34" i="17" s="1"/>
  <c r="BI34" i="17" s="1"/>
  <c r="BJ34" i="17" s="1"/>
  <c r="BK34" i="17" s="1"/>
  <c r="BL34" i="17" s="1"/>
  <c r="BM34" i="17" s="1"/>
  <c r="BN34" i="17" s="1"/>
  <c r="BO34" i="17" s="1"/>
  <c r="BP34" i="17" s="1"/>
  <c r="BQ34" i="17" s="1"/>
  <c r="BR34" i="17" s="1"/>
  <c r="BS34" i="17" s="1"/>
  <c r="BT34" i="17" s="1"/>
  <c r="BU34" i="17" s="1"/>
  <c r="BV34" i="17" s="1"/>
  <c r="BW34" i="17" s="1"/>
  <c r="BX34" i="17" s="1"/>
  <c r="BY34" i="17" s="1"/>
  <c r="BZ34" i="17" s="1"/>
  <c r="CA34" i="17" s="1"/>
  <c r="CB34" i="17" s="1"/>
  <c r="CC34" i="17" s="1"/>
  <c r="CD34" i="17" s="1"/>
  <c r="CE34" i="17" s="1"/>
  <c r="CF34" i="17" s="1"/>
  <c r="CG34" i="17" s="1"/>
  <c r="CH34" i="17" s="1"/>
  <c r="CI34" i="17" s="1"/>
  <c r="CJ34" i="17" s="1"/>
  <c r="CK34" i="17" s="1"/>
  <c r="CL34" i="17" s="1"/>
  <c r="CM34" i="17" s="1"/>
  <c r="CN34" i="17" s="1"/>
  <c r="CO34" i="17" s="1"/>
  <c r="CP34" i="17" s="1"/>
  <c r="CQ34" i="17" s="1"/>
  <c r="CR34" i="17" s="1"/>
  <c r="CS34" i="17" s="1"/>
  <c r="CT34" i="17" s="1"/>
  <c r="CU34" i="17" s="1"/>
  <c r="CV34" i="17" s="1"/>
  <c r="CW34" i="17" s="1"/>
  <c r="CX34" i="17" s="1"/>
  <c r="F15" i="18"/>
  <c r="F17" i="18" s="1"/>
  <c r="F13" i="18"/>
  <c r="Y35" i="17"/>
  <c r="Y28" i="17"/>
  <c r="M62" i="7"/>
  <c r="N62" i="7" s="1"/>
  <c r="O62" i="7" s="1"/>
  <c r="M2" i="7"/>
  <c r="N2" i="7" s="1"/>
  <c r="O2" i="7" s="1"/>
  <c r="M23" i="7"/>
  <c r="N23" i="7" s="1"/>
  <c r="O23" i="7" s="1"/>
  <c r="M46" i="7"/>
  <c r="N46" i="7" s="1"/>
  <c r="O46" i="7" s="1"/>
  <c r="M6" i="7"/>
  <c r="N6" i="7" s="1"/>
  <c r="O6" i="7" s="1"/>
  <c r="M55" i="7"/>
  <c r="N55" i="7" s="1"/>
  <c r="O55" i="7" s="1"/>
  <c r="M14" i="7"/>
  <c r="N14" i="7" s="1"/>
  <c r="O14" i="7" s="1"/>
  <c r="M71" i="7"/>
  <c r="N71" i="7" s="1"/>
  <c r="O71" i="7" s="1"/>
  <c r="M225" i="7"/>
  <c r="N225" i="7" s="1"/>
  <c r="O225" i="7" s="1"/>
  <c r="M57" i="7"/>
  <c r="N57" i="7" s="1"/>
  <c r="O57" i="7" s="1"/>
  <c r="I2" i="7"/>
  <c r="I219" i="7"/>
  <c r="I203" i="7"/>
  <c r="I187" i="7"/>
  <c r="I179" i="7"/>
  <c r="I91" i="7"/>
  <c r="I83" i="7"/>
  <c r="I75" i="7"/>
  <c r="I51" i="7"/>
  <c r="I43" i="7"/>
  <c r="I35" i="7"/>
  <c r="I27" i="7"/>
  <c r="I19" i="7"/>
  <c r="I11" i="7"/>
  <c r="I3" i="7"/>
  <c r="I233" i="7"/>
  <c r="M25" i="7"/>
  <c r="N25" i="7" s="1"/>
  <c r="O25" i="7" s="1"/>
  <c r="M89" i="7"/>
  <c r="N89" i="7" s="1"/>
  <c r="O89" i="7" s="1"/>
  <c r="M169" i="7"/>
  <c r="N169" i="7" s="1"/>
  <c r="O169" i="7" s="1"/>
  <c r="M177" i="7"/>
  <c r="N177" i="7" s="1"/>
  <c r="O177" i="7" s="1"/>
  <c r="M97" i="7"/>
  <c r="N97" i="7" s="1"/>
  <c r="O97" i="7" s="1"/>
  <c r="M7" i="7"/>
  <c r="N7" i="7" s="1"/>
  <c r="O7" i="7" s="1"/>
  <c r="M63" i="7"/>
  <c r="N63" i="7" s="1"/>
  <c r="O63" i="7" s="1"/>
  <c r="M183" i="7"/>
  <c r="N183" i="7" s="1"/>
  <c r="O183" i="7" s="1"/>
  <c r="M15" i="7"/>
  <c r="N15" i="7" s="1"/>
  <c r="O15" i="7" s="1"/>
  <c r="M135" i="7"/>
  <c r="N135" i="7" s="1"/>
  <c r="O135" i="7" s="1"/>
  <c r="M79" i="7"/>
  <c r="N79" i="7" s="1"/>
  <c r="O79" i="7" s="1"/>
  <c r="M31" i="7"/>
  <c r="N31" i="7" s="1"/>
  <c r="O31" i="7" s="1"/>
  <c r="M87" i="7"/>
  <c r="N87" i="7" s="1"/>
  <c r="O87" i="7" s="1"/>
  <c r="M39" i="7"/>
  <c r="N39" i="7" s="1"/>
  <c r="O39" i="7" s="1"/>
  <c r="M95" i="7"/>
  <c r="N95" i="7" s="1"/>
  <c r="O95" i="7" s="1"/>
  <c r="M47" i="7"/>
  <c r="N47" i="7" s="1"/>
  <c r="O47" i="7" s="1"/>
  <c r="M103" i="7"/>
  <c r="N103" i="7" s="1"/>
  <c r="O103" i="7" s="1"/>
  <c r="M33" i="7"/>
  <c r="N33" i="7" s="1"/>
  <c r="O33" i="7" s="1"/>
  <c r="M65" i="7"/>
  <c r="N65" i="7" s="1"/>
  <c r="O65" i="7" s="1"/>
  <c r="M185" i="7"/>
  <c r="N185" i="7" s="1"/>
  <c r="O185" i="7" s="1"/>
  <c r="M193" i="7"/>
  <c r="N193" i="7" s="1"/>
  <c r="O193" i="7" s="1"/>
  <c r="M41" i="7"/>
  <c r="N41" i="7" s="1"/>
  <c r="O41" i="7" s="1"/>
  <c r="M73" i="7"/>
  <c r="N73" i="7" s="1"/>
  <c r="O73" i="7" s="1"/>
  <c r="M241" i="7"/>
  <c r="N241" i="7" s="1"/>
  <c r="O241" i="7" s="1"/>
  <c r="M249" i="7"/>
  <c r="N249" i="7" s="1"/>
  <c r="O249" i="7" s="1"/>
  <c r="M9" i="7"/>
  <c r="N9" i="7" s="1"/>
  <c r="O9" i="7" s="1"/>
  <c r="M49" i="7"/>
  <c r="N49" i="7" s="1"/>
  <c r="O49" i="7" s="1"/>
  <c r="M81" i="7"/>
  <c r="N81" i="7" s="1"/>
  <c r="O81" i="7" s="1"/>
  <c r="M129" i="7"/>
  <c r="N129" i="7" s="1"/>
  <c r="O129" i="7" s="1"/>
  <c r="M17" i="7"/>
  <c r="N17" i="7" s="1"/>
  <c r="O17" i="7" s="1"/>
  <c r="M86" i="7"/>
  <c r="N86" i="7" s="1"/>
  <c r="O86" i="7" s="1"/>
  <c r="M214" i="7"/>
  <c r="N214" i="7" s="1"/>
  <c r="O214" i="7" s="1"/>
  <c r="M174" i="7"/>
  <c r="N174" i="7" s="1"/>
  <c r="O174" i="7" s="1"/>
  <c r="M226" i="7"/>
  <c r="N226" i="7" s="1"/>
  <c r="O226" i="7" s="1"/>
  <c r="M10" i="7"/>
  <c r="N10" i="7" s="1"/>
  <c r="O10" i="7" s="1"/>
  <c r="I249" i="7"/>
  <c r="I217" i="7"/>
  <c r="I209" i="7"/>
  <c r="I201" i="7"/>
  <c r="I97" i="7"/>
  <c r="I239" i="7"/>
  <c r="I231" i="7"/>
  <c r="I215" i="7"/>
  <c r="I207" i="7"/>
  <c r="I175" i="7"/>
  <c r="I103" i="7"/>
  <c r="I95" i="7"/>
  <c r="I87" i="7"/>
  <c r="I79" i="7"/>
  <c r="I71" i="7"/>
  <c r="I63" i="7"/>
  <c r="I55" i="7"/>
  <c r="I47" i="7"/>
  <c r="I39" i="7"/>
  <c r="I31" i="7"/>
  <c r="I23" i="7"/>
  <c r="I15" i="7"/>
  <c r="I7" i="7"/>
  <c r="M202" i="7"/>
  <c r="N202" i="7" s="1"/>
  <c r="O202" i="7" s="1"/>
  <c r="M18" i="7"/>
  <c r="N18" i="7" s="1"/>
  <c r="O18" i="7" s="1"/>
  <c r="M26" i="7"/>
  <c r="N26" i="7" s="1"/>
  <c r="O26" i="7" s="1"/>
  <c r="M90" i="7"/>
  <c r="N90" i="7" s="1"/>
  <c r="O90" i="7" s="1"/>
  <c r="I197" i="7"/>
  <c r="I189" i="7"/>
  <c r="I181" i="7"/>
  <c r="I173" i="7"/>
  <c r="I165" i="7"/>
  <c r="M34" i="7"/>
  <c r="N34" i="7" s="1"/>
  <c r="O34" i="7" s="1"/>
  <c r="M218" i="7"/>
  <c r="N218" i="7" s="1"/>
  <c r="O218" i="7" s="1"/>
  <c r="N99" i="7"/>
  <c r="O99" i="7" s="1"/>
  <c r="N59" i="7"/>
  <c r="O59" i="7" s="1"/>
  <c r="I248" i="7"/>
  <c r="I244" i="7"/>
  <c r="I240" i="7"/>
  <c r="I236" i="7"/>
  <c r="I232" i="7"/>
  <c r="I228" i="7"/>
  <c r="I224" i="7"/>
  <c r="I220" i="7"/>
  <c r="I216" i="7"/>
  <c r="I212" i="7"/>
  <c r="I208" i="7"/>
  <c r="I188" i="7"/>
  <c r="I184" i="7"/>
  <c r="I180" i="7"/>
  <c r="I160" i="7"/>
  <c r="I152" i="7"/>
  <c r="I136" i="7"/>
  <c r="I128" i="7"/>
  <c r="I120" i="7"/>
  <c r="I112" i="7"/>
  <c r="I104" i="7"/>
  <c r="I96" i="7"/>
  <c r="I92" i="7"/>
  <c r="I88" i="7"/>
  <c r="I84" i="7"/>
  <c r="I80" i="7"/>
  <c r="I76" i="7"/>
  <c r="I72" i="7"/>
  <c r="I64" i="7"/>
  <c r="I60" i="7"/>
  <c r="I56" i="7"/>
  <c r="I52" i="7"/>
  <c r="I48" i="7"/>
  <c r="I44" i="7"/>
  <c r="I40" i="7"/>
  <c r="I36" i="7"/>
  <c r="I32" i="7"/>
  <c r="I28" i="7"/>
  <c r="I24" i="7"/>
  <c r="I20" i="7"/>
  <c r="I16" i="7"/>
  <c r="I12" i="7"/>
  <c r="I8" i="7"/>
  <c r="I4" i="7"/>
  <c r="I247" i="7"/>
  <c r="I235" i="7"/>
  <c r="I227" i="7"/>
  <c r="I223" i="7"/>
  <c r="I211" i="7"/>
  <c r="I199" i="7"/>
  <c r="I195" i="7"/>
  <c r="I183" i="7"/>
  <c r="I171" i="7"/>
  <c r="M36" i="7"/>
  <c r="N36" i="7" s="1"/>
  <c r="O36" i="7" s="1"/>
  <c r="M172" i="7"/>
  <c r="N172" i="7" s="1"/>
  <c r="O172" i="7" s="1"/>
  <c r="M4" i="7"/>
  <c r="N4" i="7" s="1"/>
  <c r="O4" i="7" s="1"/>
  <c r="M16" i="7"/>
  <c r="N16" i="7" s="1"/>
  <c r="O16" i="7" s="1"/>
  <c r="M72" i="7"/>
  <c r="N72" i="7" s="1"/>
  <c r="O72" i="7" s="1"/>
  <c r="M184" i="7"/>
  <c r="N184" i="7" s="1"/>
  <c r="O184" i="7" s="1"/>
  <c r="M64" i="7"/>
  <c r="N64" i="7" s="1"/>
  <c r="O64" i="7" s="1"/>
  <c r="M88" i="7"/>
  <c r="N88" i="7" s="1"/>
  <c r="O88" i="7" s="1"/>
  <c r="M147" i="7"/>
  <c r="N147" i="7" s="1"/>
  <c r="O147" i="7" s="1"/>
  <c r="M159" i="7"/>
  <c r="N159" i="7" s="1"/>
  <c r="O159" i="7" s="1"/>
  <c r="M179" i="7"/>
  <c r="N179" i="7" s="1"/>
  <c r="O179" i="7" s="1"/>
  <c r="M187" i="7"/>
  <c r="N187" i="7" s="1"/>
  <c r="O187" i="7" s="1"/>
  <c r="M243" i="7"/>
  <c r="N243" i="7" s="1"/>
  <c r="O243" i="7" s="1"/>
  <c r="M44" i="7"/>
  <c r="N44" i="7" s="1"/>
  <c r="O44" i="7" s="1"/>
  <c r="M128" i="7"/>
  <c r="N128" i="7" s="1"/>
  <c r="O128" i="7" s="1"/>
  <c r="M152" i="7"/>
  <c r="N152" i="7" s="1"/>
  <c r="O152" i="7" s="1"/>
  <c r="M228" i="7"/>
  <c r="N228" i="7" s="1"/>
  <c r="O228" i="7" s="1"/>
  <c r="M76" i="7"/>
  <c r="N76" i="7" s="1"/>
  <c r="O76" i="7" s="1"/>
  <c r="M120" i="7"/>
  <c r="N120" i="7" s="1"/>
  <c r="O120" i="7" s="1"/>
  <c r="M163" i="7"/>
  <c r="N163" i="7" s="1"/>
  <c r="O163" i="7" s="1"/>
  <c r="M171" i="7"/>
  <c r="N171" i="7" s="1"/>
  <c r="O171" i="7" s="1"/>
  <c r="M180" i="7"/>
  <c r="N180" i="7" s="1"/>
  <c r="O180" i="7" s="1"/>
  <c r="M191" i="7"/>
  <c r="N191" i="7" s="1"/>
  <c r="O191" i="7" s="1"/>
  <c r="M20" i="7"/>
  <c r="N20" i="7" s="1"/>
  <c r="O20" i="7" s="1"/>
  <c r="M32" i="7"/>
  <c r="N32" i="7" s="1"/>
  <c r="O32" i="7" s="1"/>
  <c r="M56" i="7"/>
  <c r="N56" i="7" s="1"/>
  <c r="O56" i="7" s="1"/>
  <c r="M100" i="7"/>
  <c r="N100" i="7" s="1"/>
  <c r="O100" i="7" s="1"/>
  <c r="M192" i="7"/>
  <c r="N192" i="7" s="1"/>
  <c r="O192" i="7" s="1"/>
  <c r="M224" i="7"/>
  <c r="N224" i="7" s="1"/>
  <c r="O224" i="7" s="1"/>
  <c r="M24" i="7"/>
  <c r="N24" i="7" s="1"/>
  <c r="O24" i="7" s="1"/>
  <c r="M48" i="7"/>
  <c r="N48" i="7" s="1"/>
  <c r="O48" i="7" s="1"/>
  <c r="M52" i="7"/>
  <c r="N52" i="7" s="1"/>
  <c r="O52" i="7" s="1"/>
  <c r="M136" i="7"/>
  <c r="N136" i="7" s="1"/>
  <c r="O136" i="7" s="1"/>
  <c r="I144" i="7"/>
  <c r="M164" i="7"/>
  <c r="N164" i="7" s="1"/>
  <c r="O164" i="7" s="1"/>
  <c r="M60" i="7"/>
  <c r="N60" i="7" s="1"/>
  <c r="O60" i="7" s="1"/>
  <c r="M84" i="7"/>
  <c r="N84" i="7" s="1"/>
  <c r="O84" i="7" s="1"/>
  <c r="M168" i="7"/>
  <c r="N168" i="7" s="1"/>
  <c r="O168" i="7" s="1"/>
  <c r="M216" i="7"/>
  <c r="N216" i="7" s="1"/>
  <c r="O216" i="7" s="1"/>
  <c r="M220" i="7"/>
  <c r="N220" i="7" s="1"/>
  <c r="O220" i="7" s="1"/>
  <c r="M240" i="7"/>
  <c r="N240" i="7" s="1"/>
  <c r="O240" i="7" s="1"/>
  <c r="M68" i="7"/>
  <c r="N68" i="7" s="1"/>
  <c r="O68" i="7" s="1"/>
  <c r="M12" i="7"/>
  <c r="N12" i="7" s="1"/>
  <c r="O12" i="7" s="1"/>
  <c r="M28" i="7"/>
  <c r="N28" i="7" s="1"/>
  <c r="O28" i="7" s="1"/>
  <c r="M40" i="7"/>
  <c r="N40" i="7" s="1"/>
  <c r="O40" i="7" s="1"/>
  <c r="M80" i="7"/>
  <c r="N80" i="7" s="1"/>
  <c r="O80" i="7" s="1"/>
  <c r="M96" i="7"/>
  <c r="N96" i="7" s="1"/>
  <c r="O96" i="7" s="1"/>
  <c r="M104" i="7"/>
  <c r="N104" i="7" s="1"/>
  <c r="O104" i="7" s="1"/>
  <c r="M112" i="7"/>
  <c r="N112" i="7" s="1"/>
  <c r="O112" i="7" s="1"/>
  <c r="M160" i="7"/>
  <c r="N160" i="7" s="1"/>
  <c r="O160" i="7" s="1"/>
  <c r="M176" i="7"/>
  <c r="N176" i="7" s="1"/>
  <c r="O176" i="7" s="1"/>
  <c r="M188" i="7"/>
  <c r="N188" i="7" s="1"/>
  <c r="O188" i="7" s="1"/>
  <c r="M196" i="7"/>
  <c r="N196" i="7" s="1"/>
  <c r="O196" i="7" s="1"/>
  <c r="M200" i="7"/>
  <c r="N200" i="7" s="1"/>
  <c r="O200" i="7" s="1"/>
  <c r="M204" i="7"/>
  <c r="N204" i="7" s="1"/>
  <c r="O204" i="7" s="1"/>
  <c r="M208" i="7"/>
  <c r="N208" i="7" s="1"/>
  <c r="O208" i="7" s="1"/>
  <c r="M212" i="7"/>
  <c r="N212" i="7" s="1"/>
  <c r="O212" i="7" s="1"/>
  <c r="M232" i="7"/>
  <c r="N232" i="7" s="1"/>
  <c r="O232" i="7" s="1"/>
  <c r="M244" i="7"/>
  <c r="N244" i="7" s="1"/>
  <c r="O244" i="7" s="1"/>
  <c r="M236" i="7"/>
  <c r="N236" i="7" s="1"/>
  <c r="O236" i="7" s="1"/>
  <c r="I250" i="7"/>
  <c r="I162" i="7"/>
  <c r="I146" i="7"/>
  <c r="I134" i="7"/>
  <c r="I114" i="7"/>
  <c r="I98" i="7"/>
  <c r="I94" i="7"/>
  <c r="I66" i="7"/>
  <c r="W217" i="10"/>
  <c r="X217" i="10" s="1"/>
  <c r="Y217" i="10" s="1"/>
  <c r="W86" i="10"/>
  <c r="X86" i="10" s="1"/>
  <c r="Y86" i="10" s="1"/>
  <c r="W5" i="10"/>
  <c r="W11" i="10"/>
  <c r="X11" i="10" s="1"/>
  <c r="Y11" i="10" s="1"/>
  <c r="W24" i="10"/>
  <c r="X24" i="10" s="1"/>
  <c r="Y24" i="10" s="1"/>
  <c r="W60" i="10"/>
  <c r="X60" i="10" s="1"/>
  <c r="Y60" i="10" s="1"/>
  <c r="W69" i="10"/>
  <c r="X69" i="10" s="1"/>
  <c r="Y69" i="10" s="1"/>
  <c r="W149" i="10"/>
  <c r="X149" i="10" s="1"/>
  <c r="Y149" i="10" s="1"/>
  <c r="W153" i="10"/>
  <c r="X153" i="10" s="1"/>
  <c r="Y153" i="10" s="1"/>
  <c r="W157" i="10"/>
  <c r="X157" i="10" s="1"/>
  <c r="Y157" i="10" s="1"/>
  <c r="W161" i="10"/>
  <c r="W211" i="10"/>
  <c r="X211" i="10" s="1"/>
  <c r="Y211" i="10" s="1"/>
  <c r="W216" i="10"/>
  <c r="X216" i="10" s="1"/>
  <c r="Y216" i="10" s="1"/>
  <c r="W221" i="10"/>
  <c r="X221" i="10" s="1"/>
  <c r="Y221" i="10" s="1"/>
  <c r="W225" i="10"/>
  <c r="X225" i="10" s="1"/>
  <c r="Y225" i="10" s="1"/>
  <c r="W226" i="10"/>
  <c r="X226" i="10" s="1"/>
  <c r="Y226" i="10" s="1"/>
  <c r="W229" i="10"/>
  <c r="X229" i="10" s="1"/>
  <c r="Y229" i="10" s="1"/>
  <c r="W233" i="10"/>
  <c r="X233" i="10" s="1"/>
  <c r="Y233" i="10" s="1"/>
  <c r="W237" i="10"/>
  <c r="X237" i="10" s="1"/>
  <c r="Y237" i="10" s="1"/>
  <c r="W243" i="10"/>
  <c r="X243" i="10" s="1"/>
  <c r="Y243" i="10" s="1"/>
  <c r="W247" i="10"/>
  <c r="X247" i="10" s="1"/>
  <c r="Y247" i="10" s="1"/>
  <c r="W3" i="10"/>
  <c r="X3" i="10" s="1"/>
  <c r="Y3" i="10" s="1"/>
  <c r="W7" i="10"/>
  <c r="X7" i="10" s="1"/>
  <c r="Y7" i="10" s="1"/>
  <c r="W10" i="10"/>
  <c r="X10" i="10" s="1"/>
  <c r="Y10" i="10" s="1"/>
  <c r="W22" i="10"/>
  <c r="X22" i="10" s="1"/>
  <c r="Y22" i="10" s="1"/>
  <c r="W26" i="10"/>
  <c r="X26" i="10" s="1"/>
  <c r="Y26" i="10" s="1"/>
  <c r="W27" i="10"/>
  <c r="X27" i="10" s="1"/>
  <c r="Y27" i="10" s="1"/>
  <c r="W58" i="10"/>
  <c r="X58" i="10" s="1"/>
  <c r="Y58" i="10" s="1"/>
  <c r="W62" i="10"/>
  <c r="X62" i="10" s="1"/>
  <c r="Y62" i="10" s="1"/>
  <c r="W81" i="10"/>
  <c r="X81" i="10" s="1"/>
  <c r="Y81" i="10" s="1"/>
  <c r="W85" i="10"/>
  <c r="X85" i="10" s="1"/>
  <c r="Y85" i="10" s="1"/>
  <c r="W151" i="10"/>
  <c r="X151" i="10" s="1"/>
  <c r="Y151" i="10" s="1"/>
  <c r="W155" i="10"/>
  <c r="X155" i="10" s="1"/>
  <c r="Y155" i="10" s="1"/>
  <c r="W159" i="10"/>
  <c r="X159" i="10" s="1"/>
  <c r="Y159" i="10" s="1"/>
  <c r="W167" i="10"/>
  <c r="X167" i="10" s="1"/>
  <c r="Y167" i="10" s="1"/>
  <c r="W213" i="10"/>
  <c r="X213" i="10" s="1"/>
  <c r="Y213" i="10" s="1"/>
  <c r="W214" i="10"/>
  <c r="X214" i="10" s="1"/>
  <c r="Y214" i="10" s="1"/>
  <c r="W223" i="10"/>
  <c r="X223" i="10" s="1"/>
  <c r="Y223" i="10" s="1"/>
  <c r="W227" i="10"/>
  <c r="X227" i="10" s="1"/>
  <c r="Y227" i="10" s="1"/>
  <c r="W231" i="10"/>
  <c r="X231" i="10" s="1"/>
  <c r="Y231" i="10" s="1"/>
  <c r="W235" i="10"/>
  <c r="X235" i="10" s="1"/>
  <c r="Y235" i="10" s="1"/>
  <c r="W240" i="10"/>
  <c r="X240" i="10" s="1"/>
  <c r="Y240" i="10" s="1"/>
  <c r="W245" i="10"/>
  <c r="X245" i="10" s="1"/>
  <c r="Y245" i="10" s="1"/>
  <c r="W249" i="10"/>
  <c r="X249" i="10" s="1"/>
  <c r="Y249" i="10" s="1"/>
  <c r="X52" i="10"/>
  <c r="Y52" i="10" s="1"/>
  <c r="X67" i="10"/>
  <c r="Y67" i="10" s="1"/>
  <c r="X97" i="10"/>
  <c r="Y97" i="10" s="1"/>
  <c r="X109" i="10"/>
  <c r="Y109" i="10" s="1"/>
  <c r="X142" i="10"/>
  <c r="Y142" i="10" s="1"/>
  <c r="X28" i="10"/>
  <c r="Y28" i="10" s="1"/>
  <c r="X34" i="10"/>
  <c r="Y34" i="10" s="1"/>
  <c r="X73" i="10"/>
  <c r="Y73" i="10" s="1"/>
  <c r="X101" i="10"/>
  <c r="Y101" i="10" s="1"/>
  <c r="X46" i="10"/>
  <c r="Y46" i="10" s="1"/>
  <c r="X93" i="10"/>
  <c r="Y93" i="10" s="1"/>
  <c r="X113" i="10"/>
  <c r="Y113" i="10" s="1"/>
  <c r="X125" i="10"/>
  <c r="Y125" i="10" s="1"/>
  <c r="X36" i="10"/>
  <c r="Y36" i="10" s="1"/>
  <c r="X105" i="10"/>
  <c r="Y105" i="10" s="1"/>
  <c r="X117" i="10"/>
  <c r="Y117" i="10" s="1"/>
  <c r="X178" i="10"/>
  <c r="Y178" i="10" s="1"/>
  <c r="X203" i="10"/>
  <c r="Y203" i="10" s="1"/>
  <c r="X187" i="10"/>
  <c r="Y187" i="10" s="1"/>
  <c r="X207" i="10"/>
  <c r="Y207" i="10" s="1"/>
  <c r="X215" i="10"/>
  <c r="Y215" i="10" s="1"/>
  <c r="X219" i="10"/>
  <c r="Y219" i="10" s="1"/>
  <c r="X222" i="10"/>
  <c r="Y222" i="10" s="1"/>
  <c r="X191" i="10"/>
  <c r="Y191" i="10" s="1"/>
  <c r="X194" i="10"/>
  <c r="Y194" i="10" s="1"/>
  <c r="X209" i="10"/>
  <c r="Y209" i="10" s="1"/>
  <c r="X220" i="10"/>
  <c r="Y220" i="10" s="1"/>
  <c r="X241" i="10"/>
  <c r="Y241" i="10" s="1"/>
  <c r="X242" i="10"/>
  <c r="Y242" i="10" s="1"/>
  <c r="X133" i="10"/>
  <c r="X141" i="10"/>
  <c r="Y141" i="10" s="1"/>
  <c r="X161" i="10"/>
  <c r="Y161" i="10" s="1"/>
  <c r="X170" i="10"/>
  <c r="Y170" i="10" s="1"/>
  <c r="X182" i="10"/>
  <c r="Y182" i="10" s="1"/>
  <c r="X9" i="10"/>
  <c r="Y9" i="10" s="1"/>
  <c r="X30" i="10"/>
  <c r="Y30" i="10" s="1"/>
  <c r="X44" i="10"/>
  <c r="Y44" i="10" s="1"/>
  <c r="X71" i="10"/>
  <c r="Y71" i="10" s="1"/>
  <c r="X95" i="10"/>
  <c r="Y95" i="10" s="1"/>
  <c r="X103" i="10"/>
  <c r="Y103" i="10" s="1"/>
  <c r="X111" i="10"/>
  <c r="Y111" i="10" s="1"/>
  <c r="X119" i="10"/>
  <c r="Y119" i="10" s="1"/>
  <c r="X127" i="10"/>
  <c r="Y127" i="10" s="1"/>
  <c r="X135" i="10"/>
  <c r="Y135" i="10" s="1"/>
  <c r="X143" i="10"/>
  <c r="Y143" i="10" s="1"/>
  <c r="X239" i="10"/>
  <c r="Y239" i="10" s="1"/>
  <c r="W218" i="10"/>
  <c r="X218" i="10" s="1"/>
  <c r="Y218" i="10" s="1"/>
  <c r="W12" i="10"/>
  <c r="X12" i="10" s="1"/>
  <c r="Y12" i="10" s="1"/>
  <c r="W13" i="10"/>
  <c r="X13" i="10" s="1"/>
  <c r="Y13" i="10" s="1"/>
  <c r="W61" i="10"/>
  <c r="X61" i="10" s="1"/>
  <c r="Y61" i="10" s="1"/>
  <c r="W198" i="10"/>
  <c r="X198" i="10" s="1"/>
  <c r="Y198" i="10" s="1"/>
  <c r="W212" i="10"/>
  <c r="X212" i="10" s="1"/>
  <c r="Y212" i="10" s="1"/>
  <c r="W55" i="10"/>
  <c r="X55" i="10" s="1"/>
  <c r="Y55" i="10" s="1"/>
  <c r="W51" i="10"/>
  <c r="X51" i="10" s="1"/>
  <c r="Y51" i="10" s="1"/>
  <c r="W32" i="10"/>
  <c r="X32" i="10" s="1"/>
  <c r="Y32" i="10" s="1"/>
  <c r="W42" i="10"/>
  <c r="X42" i="10" s="1"/>
  <c r="Y42" i="10" s="1"/>
  <c r="W4" i="10"/>
  <c r="X4" i="10" s="1"/>
  <c r="Y4" i="10" s="1"/>
  <c r="W20" i="10"/>
  <c r="X20" i="10" s="1"/>
  <c r="Y20" i="10" s="1"/>
  <c r="W48" i="10"/>
  <c r="X48" i="10" s="1"/>
  <c r="Y48" i="10" s="1"/>
  <c r="W248" i="10"/>
  <c r="X248" i="10" s="1"/>
  <c r="Y248" i="10" s="1"/>
  <c r="W25" i="10"/>
  <c r="X25" i="10" s="1"/>
  <c r="Y25" i="10" s="1"/>
  <c r="W41" i="10"/>
  <c r="X41" i="10" s="1"/>
  <c r="Y41" i="10" s="1"/>
  <c r="W80" i="10"/>
  <c r="X80" i="10" s="1"/>
  <c r="Y80" i="10" s="1"/>
  <c r="W88" i="10"/>
  <c r="X88" i="10" s="1"/>
  <c r="Y88" i="10" s="1"/>
  <c r="W90" i="10"/>
  <c r="X90" i="10" s="1"/>
  <c r="Y90" i="10" s="1"/>
  <c r="W98" i="10"/>
  <c r="X98" i="10" s="1"/>
  <c r="Y98" i="10" s="1"/>
  <c r="W106" i="10"/>
  <c r="X106" i="10" s="1"/>
  <c r="Y106" i="10" s="1"/>
  <c r="W114" i="10"/>
  <c r="X114" i="10" s="1"/>
  <c r="Y114" i="10" s="1"/>
  <c r="W122" i="10"/>
  <c r="X122" i="10" s="1"/>
  <c r="Y122" i="10" s="1"/>
  <c r="W130" i="10"/>
  <c r="X130" i="10" s="1"/>
  <c r="Y130" i="10" s="1"/>
  <c r="W138" i="10"/>
  <c r="X138" i="10" s="1"/>
  <c r="Y138" i="10" s="1"/>
  <c r="W154" i="10"/>
  <c r="X154" i="10" s="1"/>
  <c r="Y154" i="10" s="1"/>
  <c r="W162" i="10"/>
  <c r="X162" i="10" s="1"/>
  <c r="Y162" i="10" s="1"/>
  <c r="W163" i="10"/>
  <c r="X163" i="10" s="1"/>
  <c r="Y163" i="10" s="1"/>
  <c r="W181" i="10"/>
  <c r="X181" i="10" s="1"/>
  <c r="Y181" i="10" s="1"/>
  <c r="W18" i="10"/>
  <c r="X18" i="10" s="1"/>
  <c r="Y18" i="10" s="1"/>
  <c r="W19" i="10"/>
  <c r="X19" i="10" s="1"/>
  <c r="Y19" i="10" s="1"/>
  <c r="W39" i="10"/>
  <c r="X39" i="10" s="1"/>
  <c r="Y39" i="10" s="1"/>
  <c r="W45" i="10"/>
  <c r="X45" i="10" s="1"/>
  <c r="Y45" i="10" s="1"/>
  <c r="W53" i="10"/>
  <c r="X53" i="10" s="1"/>
  <c r="Y53" i="10" s="1"/>
  <c r="W57" i="10"/>
  <c r="X57" i="10" s="1"/>
  <c r="Y57" i="10" s="1"/>
  <c r="W66" i="10"/>
  <c r="X66" i="10" s="1"/>
  <c r="Y66" i="10" s="1"/>
  <c r="W72" i="10"/>
  <c r="X72" i="10" s="1"/>
  <c r="Y72" i="10" s="1"/>
  <c r="W82" i="10"/>
  <c r="X82" i="10" s="1"/>
  <c r="Y82" i="10" s="1"/>
  <c r="W83" i="10"/>
  <c r="X83" i="10" s="1"/>
  <c r="Y83" i="10" s="1"/>
  <c r="W146" i="10"/>
  <c r="X146" i="10" s="1"/>
  <c r="Y146" i="10" s="1"/>
  <c r="W147" i="10"/>
  <c r="X147" i="10" s="1"/>
  <c r="Y147" i="10" s="1"/>
  <c r="W156" i="10"/>
  <c r="X156" i="10" s="1"/>
  <c r="Y156" i="10" s="1"/>
  <c r="W169" i="10"/>
  <c r="X169" i="10" s="1"/>
  <c r="Y169" i="10" s="1"/>
  <c r="W177" i="10"/>
  <c r="X177" i="10" s="1"/>
  <c r="Y177" i="10" s="1"/>
  <c r="W224" i="10"/>
  <c r="X224" i="10" s="1"/>
  <c r="Y224" i="10" s="1"/>
  <c r="W2" i="10"/>
  <c r="X2" i="10" s="1"/>
  <c r="Y2" i="10" s="1"/>
  <c r="W23" i="10"/>
  <c r="X23" i="10" s="1"/>
  <c r="Y23" i="10" s="1"/>
  <c r="W29" i="10"/>
  <c r="X29" i="10" s="1"/>
  <c r="Y29" i="10" s="1"/>
  <c r="W38" i="10"/>
  <c r="X38" i="10" s="1"/>
  <c r="Y38" i="10" s="1"/>
  <c r="W43" i="10"/>
  <c r="X43" i="10" s="1"/>
  <c r="Y43" i="10" s="1"/>
  <c r="W75" i="10"/>
  <c r="X75" i="10" s="1"/>
  <c r="Y75" i="10" s="1"/>
  <c r="W92" i="10"/>
  <c r="X92" i="10" s="1"/>
  <c r="Y92" i="10" s="1"/>
  <c r="W100" i="10"/>
  <c r="X100" i="10" s="1"/>
  <c r="Y100" i="10" s="1"/>
  <c r="W108" i="10"/>
  <c r="X108" i="10" s="1"/>
  <c r="Y108" i="10" s="1"/>
  <c r="W116" i="10"/>
  <c r="X116" i="10" s="1"/>
  <c r="Y116" i="10" s="1"/>
  <c r="W124" i="10"/>
  <c r="X124" i="10" s="1"/>
  <c r="Y124" i="10" s="1"/>
  <c r="W132" i="10"/>
  <c r="X132" i="10" s="1"/>
  <c r="Y132" i="10" s="1"/>
  <c r="W183" i="10"/>
  <c r="X183" i="10" s="1"/>
  <c r="Y183" i="10" s="1"/>
  <c r="W190" i="10"/>
  <c r="X190" i="10" s="1"/>
  <c r="Y190" i="10" s="1"/>
  <c r="W195" i="10"/>
  <c r="X195" i="10" s="1"/>
  <c r="Y195" i="10" s="1"/>
  <c r="W186" i="10"/>
  <c r="X186" i="10" s="1"/>
  <c r="Y186" i="10" s="1"/>
  <c r="W35" i="10"/>
  <c r="X35" i="10" s="1"/>
  <c r="Y35" i="10" s="1"/>
  <c r="W37" i="10"/>
  <c r="X37" i="10" s="1"/>
  <c r="Y37" i="10" s="1"/>
  <c r="W68" i="10"/>
  <c r="X68" i="10" s="1"/>
  <c r="Y68" i="10" s="1"/>
  <c r="W6" i="10"/>
  <c r="X6" i="10" s="1"/>
  <c r="Y6" i="10" s="1"/>
  <c r="W14" i="10"/>
  <c r="X14" i="10" s="1"/>
  <c r="Y14" i="10" s="1"/>
  <c r="W15" i="10"/>
  <c r="X15" i="10" s="1"/>
  <c r="Y15" i="10" s="1"/>
  <c r="W50" i="10"/>
  <c r="X50" i="10" s="1"/>
  <c r="Y50" i="10" s="1"/>
  <c r="W59" i="10"/>
  <c r="X59" i="10" s="1"/>
  <c r="Y59" i="10" s="1"/>
  <c r="W63" i="10"/>
  <c r="X63" i="10" s="1"/>
  <c r="Y63" i="10" s="1"/>
  <c r="W65" i="10"/>
  <c r="X65" i="10" s="1"/>
  <c r="Y65" i="10" s="1"/>
  <c r="W70" i="10"/>
  <c r="X70" i="10" s="1"/>
  <c r="Y70" i="10" s="1"/>
  <c r="W87" i="10"/>
  <c r="X87" i="10" s="1"/>
  <c r="Y87" i="10" s="1"/>
  <c r="W136" i="10"/>
  <c r="X136" i="10" s="1"/>
  <c r="Y136" i="10" s="1"/>
  <c r="W148" i="10"/>
  <c r="X148" i="10" s="1"/>
  <c r="Y148" i="10" s="1"/>
  <c r="W179" i="10"/>
  <c r="X179" i="10" s="1"/>
  <c r="Y179" i="10" s="1"/>
  <c r="W228" i="10"/>
  <c r="X228" i="10" s="1"/>
  <c r="Y228" i="10" s="1"/>
  <c r="W206" i="10"/>
  <c r="X206" i="10" s="1"/>
  <c r="Y206" i="10" s="1"/>
  <c r="W230" i="10"/>
  <c r="X230" i="10" s="1"/>
  <c r="Y230" i="10" s="1"/>
  <c r="W150" i="10"/>
  <c r="X150" i="10" s="1"/>
  <c r="Y150" i="10" s="1"/>
  <c r="W158" i="10"/>
  <c r="X158" i="10" s="1"/>
  <c r="Y158" i="10" s="1"/>
  <c r="W164" i="10"/>
  <c r="X164" i="10" s="1"/>
  <c r="Y164" i="10" s="1"/>
  <c r="W165" i="10"/>
  <c r="X165" i="10" s="1"/>
  <c r="Y165" i="10" s="1"/>
  <c r="W173" i="10"/>
  <c r="X173" i="10" s="1"/>
  <c r="Y173" i="10" s="1"/>
  <c r="W199" i="10"/>
  <c r="X199" i="10" s="1"/>
  <c r="Y199" i="10" s="1"/>
  <c r="W8" i="10"/>
  <c r="X8" i="10" s="1"/>
  <c r="Y8" i="10" s="1"/>
  <c r="W16" i="10"/>
  <c r="X16" i="10" s="1"/>
  <c r="Y16" i="10" s="1"/>
  <c r="W17" i="10"/>
  <c r="X17" i="10" s="1"/>
  <c r="Y17" i="10" s="1"/>
  <c r="W21" i="10"/>
  <c r="X21" i="10" s="1"/>
  <c r="Y21" i="10" s="1"/>
  <c r="W31" i="10"/>
  <c r="X31" i="10" s="1"/>
  <c r="Y31" i="10" s="1"/>
  <c r="W33" i="10"/>
  <c r="X33" i="10" s="1"/>
  <c r="Y33" i="10" s="1"/>
  <c r="W47" i="10"/>
  <c r="X47" i="10" s="1"/>
  <c r="Y47" i="10" s="1"/>
  <c r="W49" i="10"/>
  <c r="X49" i="10" s="1"/>
  <c r="Y49" i="10" s="1"/>
  <c r="W74" i="10"/>
  <c r="X74" i="10" s="1"/>
  <c r="Y74" i="10" s="1"/>
  <c r="W78" i="10"/>
  <c r="X78" i="10" s="1"/>
  <c r="Y78" i="10" s="1"/>
  <c r="W79" i="10"/>
  <c r="X79" i="10" s="1"/>
  <c r="Y79" i="10" s="1"/>
  <c r="W84" i="10"/>
  <c r="X84" i="10" s="1"/>
  <c r="Y84" i="10" s="1"/>
  <c r="W96" i="10"/>
  <c r="X96" i="10" s="1"/>
  <c r="Y96" i="10" s="1"/>
  <c r="W104" i="10"/>
  <c r="X104" i="10" s="1"/>
  <c r="Y104" i="10" s="1"/>
  <c r="W112" i="10"/>
  <c r="X112" i="10" s="1"/>
  <c r="Y112" i="10" s="1"/>
  <c r="W120" i="10"/>
  <c r="X120" i="10" s="1"/>
  <c r="Y120" i="10" s="1"/>
  <c r="W128" i="10"/>
  <c r="X128" i="10" s="1"/>
  <c r="Y128" i="10" s="1"/>
  <c r="W140" i="10"/>
  <c r="X140" i="10" s="1"/>
  <c r="Y140" i="10" s="1"/>
  <c r="W144" i="10"/>
  <c r="X144" i="10" s="1"/>
  <c r="Y144" i="10" s="1"/>
  <c r="W152" i="10"/>
  <c r="X152" i="10" s="1"/>
  <c r="Y152" i="10" s="1"/>
  <c r="W160" i="10"/>
  <c r="X160" i="10" s="1"/>
  <c r="Y160" i="10" s="1"/>
  <c r="W166" i="10"/>
  <c r="X166" i="10" s="1"/>
  <c r="Y166" i="10" s="1"/>
  <c r="W202" i="10"/>
  <c r="X202" i="10" s="1"/>
  <c r="Y202" i="10" s="1"/>
  <c r="W232" i="10"/>
  <c r="X232" i="10" s="1"/>
  <c r="Y232" i="10" s="1"/>
  <c r="W234" i="10"/>
  <c r="X234" i="10" s="1"/>
  <c r="Y234" i="10" s="1"/>
  <c r="W250" i="10"/>
  <c r="X250" i="10" s="1"/>
  <c r="Y250" i="10" s="1"/>
  <c r="X5" i="10"/>
  <c r="Y5" i="10" s="1"/>
  <c r="Y40" i="10"/>
  <c r="W188" i="10"/>
  <c r="X188" i="10" s="1"/>
  <c r="Y188" i="10" s="1"/>
  <c r="W204" i="10"/>
  <c r="X204" i="10" s="1"/>
  <c r="Y204" i="10" s="1"/>
  <c r="Y54" i="10"/>
  <c r="X56" i="10"/>
  <c r="Y56" i="10" s="1"/>
  <c r="X76" i="10"/>
  <c r="Y76" i="10" s="1"/>
  <c r="Y77" i="10"/>
  <c r="Y91" i="10"/>
  <c r="Y99" i="10"/>
  <c r="Y107" i="10"/>
  <c r="Y115" i="10"/>
  <c r="Y121" i="10"/>
  <c r="Y123" i="10"/>
  <c r="Y129" i="10"/>
  <c r="Y131" i="10"/>
  <c r="Y133" i="10"/>
  <c r="Y137" i="10"/>
  <c r="W64" i="10"/>
  <c r="X64" i="10" s="1"/>
  <c r="Y64" i="10" s="1"/>
  <c r="X89" i="10"/>
  <c r="Y89" i="10" s="1"/>
  <c r="X94" i="10"/>
  <c r="Y94" i="10" s="1"/>
  <c r="X102" i="10"/>
  <c r="Y102" i="10" s="1"/>
  <c r="X110" i="10"/>
  <c r="Y110" i="10" s="1"/>
  <c r="X118" i="10"/>
  <c r="Y118" i="10" s="1"/>
  <c r="X126" i="10"/>
  <c r="Y126" i="10" s="1"/>
  <c r="X134" i="10"/>
  <c r="Y134" i="10" s="1"/>
  <c r="X172" i="10"/>
  <c r="Y172" i="10" s="1"/>
  <c r="Y174" i="10"/>
  <c r="W184" i="10"/>
  <c r="X184" i="10" s="1"/>
  <c r="Y184" i="10" s="1"/>
  <c r="W200" i="10"/>
  <c r="X200" i="10" s="1"/>
  <c r="Y200" i="10" s="1"/>
  <c r="W196" i="10"/>
  <c r="X196" i="10" s="1"/>
  <c r="Y196" i="10" s="1"/>
  <c r="Y139" i="10"/>
  <c r="X145" i="10"/>
  <c r="Y145" i="10" s="1"/>
  <c r="W171" i="10"/>
  <c r="X171" i="10" s="1"/>
  <c r="Y171" i="10" s="1"/>
  <c r="W192" i="10"/>
  <c r="X192" i="10" s="1"/>
  <c r="Y192" i="10" s="1"/>
  <c r="W208" i="10"/>
  <c r="X208" i="10" s="1"/>
  <c r="Y208" i="10" s="1"/>
  <c r="W175" i="10"/>
  <c r="X175" i="10" s="1"/>
  <c r="Y175" i="10" s="1"/>
  <c r="W185" i="10"/>
  <c r="X185" i="10" s="1"/>
  <c r="Y185" i="10" s="1"/>
  <c r="W189" i="10"/>
  <c r="X189" i="10" s="1"/>
  <c r="Y189" i="10" s="1"/>
  <c r="W193" i="10"/>
  <c r="X193" i="10" s="1"/>
  <c r="Y193" i="10" s="1"/>
  <c r="W197" i="10"/>
  <c r="X197" i="10" s="1"/>
  <c r="Y197" i="10" s="1"/>
  <c r="W201" i="10"/>
  <c r="X201" i="10" s="1"/>
  <c r="Y201" i="10" s="1"/>
  <c r="W205" i="10"/>
  <c r="X205" i="10" s="1"/>
  <c r="Y205" i="10" s="1"/>
  <c r="Y180" i="10"/>
  <c r="Y168" i="10"/>
  <c r="X176" i="10"/>
  <c r="Y176" i="10" s="1"/>
  <c r="X236" i="10"/>
  <c r="Y236" i="10" s="1"/>
  <c r="X244" i="10"/>
  <c r="Y244" i="10" s="1"/>
  <c r="X210" i="10"/>
  <c r="Y210" i="10" s="1"/>
  <c r="X238" i="10"/>
  <c r="Y238" i="10" s="1"/>
  <c r="X246" i="10"/>
  <c r="Y246" i="10" s="1"/>
  <c r="N173" i="7"/>
  <c r="O173" i="7" s="1"/>
  <c r="N43" i="7"/>
  <c r="O43" i="7" s="1"/>
  <c r="N75" i="7"/>
  <c r="O75" i="7" s="1"/>
  <c r="N223" i="7"/>
  <c r="O223" i="7" s="1"/>
  <c r="I168" i="7"/>
  <c r="N113" i="7"/>
  <c r="O113" i="7" s="1"/>
  <c r="N161" i="7"/>
  <c r="O161" i="7" s="1"/>
  <c r="N235" i="7"/>
  <c r="O235" i="7" s="1"/>
  <c r="N137" i="7"/>
  <c r="O137" i="7" s="1"/>
  <c r="I59" i="7"/>
  <c r="N83" i="7"/>
  <c r="O83" i="7" s="1"/>
  <c r="N131" i="7"/>
  <c r="O131" i="7" s="1"/>
  <c r="N133" i="7"/>
  <c r="O133" i="7" s="1"/>
  <c r="N154" i="7"/>
  <c r="O154" i="7" s="1"/>
  <c r="N155" i="7"/>
  <c r="O155" i="7" s="1"/>
  <c r="N157" i="7"/>
  <c r="O157" i="7" s="1"/>
  <c r="N211" i="7"/>
  <c r="O211" i="7" s="1"/>
  <c r="N233" i="7"/>
  <c r="O233" i="7" s="1"/>
  <c r="N11" i="7"/>
  <c r="O11" i="7" s="1"/>
  <c r="N19" i="7"/>
  <c r="O19" i="7" s="1"/>
  <c r="N127" i="7"/>
  <c r="O127" i="7" s="1"/>
  <c r="N51" i="7"/>
  <c r="O51" i="7" s="1"/>
  <c r="N3" i="7"/>
  <c r="O3" i="7" s="1"/>
  <c r="N67" i="7"/>
  <c r="O67" i="7" s="1"/>
  <c r="I67" i="7"/>
  <c r="I33" i="7"/>
  <c r="N35" i="7"/>
  <c r="O35" i="7" s="1"/>
  <c r="N8" i="7"/>
  <c r="O8" i="7" s="1"/>
  <c r="I99" i="7"/>
  <c r="N105" i="7"/>
  <c r="O105" i="7" s="1"/>
  <c r="N107" i="7"/>
  <c r="O107" i="7" s="1"/>
  <c r="N108" i="7"/>
  <c r="O108" i="7" s="1"/>
  <c r="N115" i="7"/>
  <c r="O115" i="7" s="1"/>
  <c r="N117" i="7"/>
  <c r="O117" i="7" s="1"/>
  <c r="N122" i="7"/>
  <c r="O122" i="7" s="1"/>
  <c r="N123" i="7"/>
  <c r="O123" i="7" s="1"/>
  <c r="N149" i="7"/>
  <c r="O149" i="7" s="1"/>
  <c r="I194" i="7"/>
  <c r="I190" i="7"/>
  <c r="I186" i="7"/>
  <c r="I182" i="7"/>
  <c r="I178" i="7"/>
  <c r="I174" i="7"/>
  <c r="N130" i="7"/>
  <c r="O130" i="7" s="1"/>
  <c r="N106" i="7"/>
  <c r="O106" i="7" s="1"/>
  <c r="I102" i="7"/>
  <c r="I90" i="7"/>
  <c r="I86" i="7"/>
  <c r="I82" i="7"/>
  <c r="I78" i="7"/>
  <c r="I74" i="7"/>
  <c r="I70" i="7"/>
  <c r="I62" i="7"/>
  <c r="I58" i="7"/>
  <c r="I54" i="7"/>
  <c r="I46" i="7"/>
  <c r="I42" i="7"/>
  <c r="I38" i="7"/>
  <c r="I34" i="7"/>
  <c r="I30" i="7"/>
  <c r="I26" i="7"/>
  <c r="I22" i="7"/>
  <c r="I18" i="7"/>
  <c r="I14" i="7"/>
  <c r="I10" i="7"/>
  <c r="I6" i="7"/>
  <c r="N27" i="7"/>
  <c r="O27" i="7" s="1"/>
  <c r="N29" i="7"/>
  <c r="O29" i="7" s="1"/>
  <c r="I68" i="7"/>
  <c r="N91" i="7"/>
  <c r="O91" i="7" s="1"/>
  <c r="I100" i="7"/>
  <c r="I105" i="7"/>
  <c r="N119" i="7"/>
  <c r="O119" i="7" s="1"/>
  <c r="N121" i="7"/>
  <c r="O121" i="7" s="1"/>
  <c r="N139" i="7"/>
  <c r="O139" i="7" s="1"/>
  <c r="N144" i="7"/>
  <c r="O144" i="7" s="1"/>
  <c r="N151" i="7"/>
  <c r="O151" i="7" s="1"/>
  <c r="N153" i="7"/>
  <c r="O153" i="7" s="1"/>
  <c r="I176" i="7"/>
  <c r="I177" i="7"/>
  <c r="I191" i="7"/>
  <c r="I192" i="7"/>
  <c r="I193" i="7"/>
  <c r="I196" i="7"/>
  <c r="I200" i="7"/>
  <c r="I204" i="7"/>
  <c r="N215" i="7"/>
  <c r="O215" i="7" s="1"/>
  <c r="N219" i="7"/>
  <c r="O219" i="7" s="1"/>
  <c r="N227" i="7"/>
  <c r="O227" i="7" s="1"/>
  <c r="I241" i="7"/>
  <c r="I243" i="7"/>
  <c r="N69" i="7"/>
  <c r="O69" i="7" s="1"/>
  <c r="N111" i="7"/>
  <c r="O111" i="7" s="1"/>
  <c r="N143" i="7"/>
  <c r="O143" i="7" s="1"/>
  <c r="N145" i="7"/>
  <c r="O145" i="7" s="1"/>
  <c r="N195" i="7"/>
  <c r="O195" i="7" s="1"/>
  <c r="N197" i="7"/>
  <c r="O197" i="7" s="1"/>
  <c r="N199" i="7"/>
  <c r="O199" i="7" s="1"/>
  <c r="N203" i="7"/>
  <c r="O203" i="7" s="1"/>
  <c r="N205" i="7"/>
  <c r="O205" i="7" s="1"/>
  <c r="N207" i="7"/>
  <c r="O207" i="7" s="1"/>
  <c r="M50" i="7"/>
  <c r="N50" i="7" s="1"/>
  <c r="O50" i="7" s="1"/>
  <c r="M66" i="7"/>
  <c r="N66" i="7" s="1"/>
  <c r="O66" i="7" s="1"/>
  <c r="M94" i="7"/>
  <c r="N94" i="7" s="1"/>
  <c r="O94" i="7" s="1"/>
  <c r="M98" i="7"/>
  <c r="N98" i="7" s="1"/>
  <c r="O98" i="7" s="1"/>
  <c r="M114" i="7"/>
  <c r="N114" i="7" s="1"/>
  <c r="O114" i="7" s="1"/>
  <c r="I126" i="7"/>
  <c r="M134" i="7"/>
  <c r="N134" i="7" s="1"/>
  <c r="O134" i="7" s="1"/>
  <c r="I138" i="7"/>
  <c r="M146" i="7"/>
  <c r="N146" i="7" s="1"/>
  <c r="O146" i="7" s="1"/>
  <c r="I158" i="7"/>
  <c r="M166" i="7"/>
  <c r="N166" i="7" s="1"/>
  <c r="O166" i="7" s="1"/>
  <c r="M170" i="7"/>
  <c r="N170" i="7" s="1"/>
  <c r="O170" i="7" s="1"/>
  <c r="M206" i="7"/>
  <c r="N206" i="7" s="1"/>
  <c r="O206" i="7" s="1"/>
  <c r="M210" i="7"/>
  <c r="N210" i="7" s="1"/>
  <c r="O210" i="7" s="1"/>
  <c r="I242" i="7"/>
  <c r="M246" i="7"/>
  <c r="N246" i="7" s="1"/>
  <c r="O246" i="7" s="1"/>
  <c r="M250" i="7"/>
  <c r="N250" i="7" s="1"/>
  <c r="O250" i="7" s="1"/>
  <c r="M38" i="7"/>
  <c r="N38" i="7" s="1"/>
  <c r="O38" i="7" s="1"/>
  <c r="M54" i="7"/>
  <c r="N54" i="7" s="1"/>
  <c r="O54" i="7" s="1"/>
  <c r="M70" i="7"/>
  <c r="N70" i="7" s="1"/>
  <c r="O70" i="7" s="1"/>
  <c r="M74" i="7"/>
  <c r="N74" i="7" s="1"/>
  <c r="O74" i="7" s="1"/>
  <c r="M102" i="7"/>
  <c r="N102" i="7" s="1"/>
  <c r="O102" i="7" s="1"/>
  <c r="I118" i="7"/>
  <c r="M126" i="7"/>
  <c r="N126" i="7" s="1"/>
  <c r="O126" i="7" s="1"/>
  <c r="I130" i="7"/>
  <c r="M138" i="7"/>
  <c r="N138" i="7" s="1"/>
  <c r="O138" i="7" s="1"/>
  <c r="I150" i="7"/>
  <c r="M162" i="7"/>
  <c r="N162" i="7" s="1"/>
  <c r="O162" i="7" s="1"/>
  <c r="M178" i="7"/>
  <c r="N178" i="7" s="1"/>
  <c r="O178" i="7" s="1"/>
  <c r="M182" i="7"/>
  <c r="N182" i="7" s="1"/>
  <c r="O182" i="7" s="1"/>
  <c r="M186" i="7"/>
  <c r="N186" i="7" s="1"/>
  <c r="O186" i="7" s="1"/>
  <c r="M190" i="7"/>
  <c r="N190" i="7" s="1"/>
  <c r="O190" i="7" s="1"/>
  <c r="M194" i="7"/>
  <c r="N194" i="7" s="1"/>
  <c r="O194" i="7" s="1"/>
  <c r="I222" i="7"/>
  <c r="I234" i="7"/>
  <c r="M238" i="7"/>
  <c r="N238" i="7" s="1"/>
  <c r="O238" i="7" s="1"/>
  <c r="M242" i="7"/>
  <c r="N242" i="7" s="1"/>
  <c r="O242" i="7" s="1"/>
  <c r="M22" i="7"/>
  <c r="N22" i="7" s="1"/>
  <c r="O22" i="7" s="1"/>
  <c r="M30" i="7"/>
  <c r="N30" i="7" s="1"/>
  <c r="O30" i="7" s="1"/>
  <c r="M42" i="7"/>
  <c r="N42" i="7" s="1"/>
  <c r="O42" i="7" s="1"/>
  <c r="M58" i="7"/>
  <c r="N58" i="7" s="1"/>
  <c r="O58" i="7" s="1"/>
  <c r="M78" i="7"/>
  <c r="N78" i="7" s="1"/>
  <c r="O78" i="7" s="1"/>
  <c r="M82" i="7"/>
  <c r="N82" i="7" s="1"/>
  <c r="O82" i="7" s="1"/>
  <c r="I110" i="7"/>
  <c r="I122" i="7"/>
  <c r="I142" i="7"/>
  <c r="I154" i="7"/>
  <c r="M158" i="7"/>
  <c r="N158" i="7" s="1"/>
  <c r="O158" i="7" s="1"/>
  <c r="I166" i="7"/>
  <c r="M198" i="7"/>
  <c r="N198" i="7" s="1"/>
  <c r="O198" i="7" s="1"/>
  <c r="I214" i="7"/>
  <c r="M222" i="7"/>
  <c r="N222" i="7" s="1"/>
  <c r="O222" i="7" s="1"/>
  <c r="I226" i="7"/>
  <c r="M230" i="7"/>
  <c r="N230" i="7" s="1"/>
  <c r="O230" i="7" s="1"/>
  <c r="M234" i="7"/>
  <c r="N234" i="7" s="1"/>
  <c r="O234" i="7" s="1"/>
  <c r="F252" i="7"/>
  <c r="G12" i="6" s="1"/>
  <c r="G17" i="6" s="1"/>
  <c r="H14" i="6" s="1"/>
  <c r="I132" i="7"/>
  <c r="I164" i="7"/>
  <c r="I140" i="7"/>
  <c r="I124" i="7"/>
  <c r="I156" i="7"/>
  <c r="I206" i="7"/>
  <c r="I116" i="7"/>
  <c r="I148" i="7"/>
  <c r="M175" i="7"/>
  <c r="N175" i="7" s="1"/>
  <c r="O175" i="7" s="1"/>
  <c r="I218" i="7"/>
  <c r="I106" i="7"/>
  <c r="I107" i="7"/>
  <c r="I108" i="7"/>
  <c r="I109" i="7"/>
  <c r="N116" i="7"/>
  <c r="O116" i="7" s="1"/>
  <c r="N124" i="7"/>
  <c r="O124" i="7" s="1"/>
  <c r="N132" i="7"/>
  <c r="O132" i="7" s="1"/>
  <c r="N140" i="7"/>
  <c r="O140" i="7" s="1"/>
  <c r="N148" i="7"/>
  <c r="O148" i="7" s="1"/>
  <c r="N156" i="7"/>
  <c r="O156" i="7" s="1"/>
  <c r="M167" i="7"/>
  <c r="N167" i="7" s="1"/>
  <c r="O167" i="7" s="1"/>
  <c r="I167" i="7"/>
  <c r="I172" i="7"/>
  <c r="I230" i="7"/>
  <c r="N110" i="7"/>
  <c r="O110" i="7" s="1"/>
  <c r="N118" i="7"/>
  <c r="O118" i="7" s="1"/>
  <c r="N142" i="7"/>
  <c r="O142" i="7" s="1"/>
  <c r="N150" i="7"/>
  <c r="O150" i="7" s="1"/>
  <c r="M165" i="7"/>
  <c r="N165" i="7" s="1"/>
  <c r="O165" i="7" s="1"/>
  <c r="I210" i="7"/>
  <c r="I111" i="7"/>
  <c r="I113" i="7"/>
  <c r="I115" i="7"/>
  <c r="I117" i="7"/>
  <c r="I119" i="7"/>
  <c r="I121" i="7"/>
  <c r="I123" i="7"/>
  <c r="I125" i="7"/>
  <c r="I127" i="7"/>
  <c r="I129" i="7"/>
  <c r="I131" i="7"/>
  <c r="I133" i="7"/>
  <c r="I135" i="7"/>
  <c r="I137" i="7"/>
  <c r="I139" i="7"/>
  <c r="I141" i="7"/>
  <c r="I143" i="7"/>
  <c r="I145" i="7"/>
  <c r="I147" i="7"/>
  <c r="I149" i="7"/>
  <c r="I151" i="7"/>
  <c r="I153" i="7"/>
  <c r="I155" i="7"/>
  <c r="I157" i="7"/>
  <c r="I159" i="7"/>
  <c r="I161" i="7"/>
  <c r="I163" i="7"/>
  <c r="M201" i="7"/>
  <c r="N201" i="7" s="1"/>
  <c r="O201" i="7" s="1"/>
  <c r="M213" i="7"/>
  <c r="N213" i="7" s="1"/>
  <c r="O213" i="7" s="1"/>
  <c r="I213" i="7"/>
  <c r="M221" i="7"/>
  <c r="N221" i="7" s="1"/>
  <c r="O221" i="7" s="1"/>
  <c r="I221" i="7"/>
  <c r="I229" i="7"/>
  <c r="M229" i="7"/>
  <c r="N229" i="7" s="1"/>
  <c r="O229" i="7" s="1"/>
  <c r="I238" i="7"/>
  <c r="I170" i="7"/>
  <c r="I198" i="7"/>
  <c r="I237" i="7"/>
  <c r="M237" i="7"/>
  <c r="N237" i="7" s="1"/>
  <c r="O237" i="7" s="1"/>
  <c r="I246" i="7"/>
  <c r="I245" i="7"/>
  <c r="M245" i="7"/>
  <c r="N245" i="7" s="1"/>
  <c r="O245" i="7" s="1"/>
  <c r="I202" i="7"/>
  <c r="M209" i="7"/>
  <c r="N209" i="7" s="1"/>
  <c r="O209" i="7" s="1"/>
  <c r="M217" i="7"/>
  <c r="N217" i="7" s="1"/>
  <c r="O217" i="7" s="1"/>
  <c r="M231" i="7"/>
  <c r="N231" i="7" s="1"/>
  <c r="O231" i="7" s="1"/>
  <c r="M239" i="7"/>
  <c r="N239" i="7" s="1"/>
  <c r="O239" i="7" s="1"/>
  <c r="M247" i="7"/>
  <c r="N247" i="7" s="1"/>
  <c r="O247" i="7" s="1"/>
  <c r="C3" i="5" l="1"/>
  <c r="C37" i="17"/>
  <c r="D33" i="17" s="1"/>
  <c r="D37" i="17" s="1"/>
  <c r="E33" i="17" s="1"/>
  <c r="E37" i="17" s="1"/>
  <c r="F33" i="17" s="1"/>
  <c r="F37" i="17" s="1"/>
  <c r="G33" i="17" s="1"/>
  <c r="G37" i="17" s="1"/>
  <c r="H33" i="17" s="1"/>
  <c r="H37" i="17" s="1"/>
  <c r="I33" i="17" s="1"/>
  <c r="I37" i="17" s="1"/>
  <c r="J33" i="17" s="1"/>
  <c r="J37" i="17" s="1"/>
  <c r="K33" i="17" s="1"/>
  <c r="K37" i="17" s="1"/>
  <c r="L33" i="17" s="1"/>
  <c r="L37" i="17" s="1"/>
  <c r="M33" i="17" s="1"/>
  <c r="M37" i="17" s="1"/>
  <c r="N33" i="17" s="1"/>
  <c r="N37" i="17" s="1"/>
  <c r="O33" i="17" s="1"/>
  <c r="O37" i="17" s="1"/>
  <c r="P33" i="17" s="1"/>
  <c r="P37" i="17" s="1"/>
  <c r="Q33" i="17" s="1"/>
  <c r="Q37" i="17" s="1"/>
  <c r="R33" i="17" s="1"/>
  <c r="R37" i="17" s="1"/>
  <c r="S33" i="17" s="1"/>
  <c r="S37" i="17" s="1"/>
  <c r="T33" i="17" s="1"/>
  <c r="T37" i="17" s="1"/>
  <c r="U33" i="17" s="1"/>
  <c r="U37" i="17" s="1"/>
  <c r="V33" i="17" s="1"/>
  <c r="V37" i="17" s="1"/>
  <c r="W33" i="17" s="1"/>
  <c r="W37" i="17" s="1"/>
  <c r="X33" i="17" s="1"/>
  <c r="X37" i="17" s="1"/>
  <c r="Y33" i="17" s="1"/>
  <c r="Y37" i="17" s="1"/>
  <c r="Z33" i="17" s="1"/>
  <c r="Z37" i="17" s="1"/>
  <c r="AA33" i="17" s="1"/>
  <c r="AA37" i="17" s="1"/>
  <c r="AB33" i="17" s="1"/>
  <c r="AB37" i="17" s="1"/>
  <c r="AC33" i="17" s="1"/>
  <c r="AC37" i="17" s="1"/>
  <c r="AD33" i="17" s="1"/>
  <c r="AD37" i="17" s="1"/>
  <c r="AE33" i="17" s="1"/>
  <c r="AE37" i="17" s="1"/>
  <c r="AF33" i="17" s="1"/>
  <c r="AF37" i="17" s="1"/>
  <c r="AG33" i="17" s="1"/>
  <c r="AG37" i="17" s="1"/>
  <c r="AH33" i="17" s="1"/>
  <c r="AH37" i="17" s="1"/>
  <c r="AI33" i="17" s="1"/>
  <c r="AI37" i="17" s="1"/>
  <c r="AJ33" i="17" s="1"/>
  <c r="AJ37" i="17" s="1"/>
  <c r="AK33" i="17" s="1"/>
  <c r="AK37" i="17" s="1"/>
  <c r="AL33" i="17" s="1"/>
  <c r="AL37" i="17" s="1"/>
  <c r="AM33" i="17" s="1"/>
  <c r="AM37" i="17" s="1"/>
  <c r="AN33" i="17" s="1"/>
  <c r="AN37" i="17" s="1"/>
  <c r="AO33" i="17" s="1"/>
  <c r="AO37" i="17" s="1"/>
  <c r="AP33" i="17" s="1"/>
  <c r="AP37" i="17" s="1"/>
  <c r="AQ33" i="17" s="1"/>
  <c r="AQ37" i="17" s="1"/>
  <c r="AR33" i="17" s="1"/>
  <c r="AR37" i="17" s="1"/>
  <c r="AS33" i="17" s="1"/>
  <c r="AS37" i="17" s="1"/>
  <c r="AT33" i="17" s="1"/>
  <c r="AT37" i="17" s="1"/>
  <c r="AU33" i="17" s="1"/>
  <c r="AU37" i="17" s="1"/>
  <c r="AV33" i="17" s="1"/>
  <c r="AV37" i="17" s="1"/>
  <c r="AW33" i="17" s="1"/>
  <c r="AW37" i="17" s="1"/>
  <c r="AX33" i="17" s="1"/>
  <c r="AX37" i="17" s="1"/>
  <c r="AY33" i="17" s="1"/>
  <c r="AY37" i="17" s="1"/>
  <c r="AZ33" i="17" s="1"/>
  <c r="AZ37" i="17" s="1"/>
  <c r="BA33" i="17" s="1"/>
  <c r="BA37" i="17" s="1"/>
  <c r="BB33" i="17" s="1"/>
  <c r="BB37" i="17" s="1"/>
  <c r="BC33" i="17" s="1"/>
  <c r="BC37" i="17" s="1"/>
  <c r="BD33" i="17" s="1"/>
  <c r="BD37" i="17" s="1"/>
  <c r="BE33" i="17" s="1"/>
  <c r="BE37" i="17" s="1"/>
  <c r="BF33" i="17" s="1"/>
  <c r="BF37" i="17" s="1"/>
  <c r="BG33" i="17" s="1"/>
  <c r="BG37" i="17" s="1"/>
  <c r="BH33" i="17" s="1"/>
  <c r="BH37" i="17" s="1"/>
  <c r="BI33" i="17" s="1"/>
  <c r="BI37" i="17" s="1"/>
  <c r="BJ33" i="17" s="1"/>
  <c r="BJ37" i="17" s="1"/>
  <c r="BK33" i="17" s="1"/>
  <c r="BK37" i="17" s="1"/>
  <c r="BL33" i="17" s="1"/>
  <c r="BL37" i="17" s="1"/>
  <c r="BM33" i="17" s="1"/>
  <c r="BM37" i="17" s="1"/>
  <c r="BN33" i="17" s="1"/>
  <c r="BN37" i="17" s="1"/>
  <c r="BO33" i="17" s="1"/>
  <c r="BO37" i="17" s="1"/>
  <c r="BP33" i="17" s="1"/>
  <c r="BP37" i="17" s="1"/>
  <c r="BQ33" i="17" s="1"/>
  <c r="BQ37" i="17" s="1"/>
  <c r="BR33" i="17" s="1"/>
  <c r="BR37" i="17" s="1"/>
  <c r="BS33" i="17" s="1"/>
  <c r="BS37" i="17" s="1"/>
  <c r="BT33" i="17" s="1"/>
  <c r="BT37" i="17" s="1"/>
  <c r="BU33" i="17" s="1"/>
  <c r="BU37" i="17" s="1"/>
  <c r="BV33" i="17" s="1"/>
  <c r="BV37" i="17" s="1"/>
  <c r="BW33" i="17" s="1"/>
  <c r="BW37" i="17" s="1"/>
  <c r="BX33" i="17" s="1"/>
  <c r="BX37" i="17" s="1"/>
  <c r="BY33" i="17" s="1"/>
  <c r="BY37" i="17" s="1"/>
  <c r="BZ33" i="17" s="1"/>
  <c r="BZ37" i="17" s="1"/>
  <c r="CA33" i="17" s="1"/>
  <c r="CA37" i="17" s="1"/>
  <c r="CB33" i="17" s="1"/>
  <c r="CB37" i="17" s="1"/>
  <c r="CC33" i="17" s="1"/>
  <c r="CC37" i="17" s="1"/>
  <c r="CD33" i="17" s="1"/>
  <c r="CD37" i="17" s="1"/>
  <c r="CE33" i="17" s="1"/>
  <c r="CE37" i="17" s="1"/>
  <c r="CF33" i="17" s="1"/>
  <c r="CF37" i="17" s="1"/>
  <c r="CG33" i="17" s="1"/>
  <c r="CG37" i="17" s="1"/>
  <c r="CH33" i="17" s="1"/>
  <c r="CH37" i="17" s="1"/>
  <c r="CI33" i="17" s="1"/>
  <c r="CI37" i="17" s="1"/>
  <c r="CJ33" i="17" s="1"/>
  <c r="CJ37" i="17" s="1"/>
  <c r="CK33" i="17" s="1"/>
  <c r="CK37" i="17" s="1"/>
  <c r="CL33" i="17" s="1"/>
  <c r="CL37" i="17" s="1"/>
  <c r="CM33" i="17" s="1"/>
  <c r="CM37" i="17" s="1"/>
  <c r="CN33" i="17" s="1"/>
  <c r="CN37" i="17" s="1"/>
  <c r="CO33" i="17" s="1"/>
  <c r="CO37" i="17" s="1"/>
  <c r="CP33" i="17" s="1"/>
  <c r="CP37" i="17" s="1"/>
  <c r="CQ33" i="17" s="1"/>
  <c r="CQ37" i="17" s="1"/>
  <c r="CR33" i="17" s="1"/>
  <c r="CR37" i="17" s="1"/>
  <c r="CS33" i="17" s="1"/>
  <c r="CS37" i="17" s="1"/>
  <c r="CT33" i="17" s="1"/>
  <c r="CT37" i="17" s="1"/>
  <c r="CU33" i="17" s="1"/>
  <c r="CU37" i="17" s="1"/>
  <c r="CV33" i="17" s="1"/>
  <c r="CV37" i="17" s="1"/>
  <c r="CW33" i="17" s="1"/>
  <c r="CW37" i="17" s="1"/>
  <c r="CX33" i="17" s="1"/>
  <c r="CX37" i="17" s="1"/>
  <c r="D30" i="17"/>
  <c r="E26" i="17" s="1"/>
  <c r="E30" i="17" s="1"/>
  <c r="F26" i="17" s="1"/>
  <c r="F30" i="17" s="1"/>
  <c r="G26" i="17" s="1"/>
  <c r="G30" i="17" s="1"/>
  <c r="H26" i="17" s="1"/>
  <c r="H30" i="17" s="1"/>
  <c r="I26" i="17" s="1"/>
  <c r="I30" i="17" s="1"/>
  <c r="J26" i="17" s="1"/>
  <c r="J30" i="17" s="1"/>
  <c r="K26" i="17" s="1"/>
  <c r="K30" i="17" s="1"/>
  <c r="L26" i="17" s="1"/>
  <c r="L30" i="17" s="1"/>
  <c r="M26" i="17" s="1"/>
  <c r="M30" i="17" s="1"/>
  <c r="N26" i="17" s="1"/>
  <c r="N30" i="17" s="1"/>
  <c r="O26" i="17" s="1"/>
  <c r="O30" i="17" s="1"/>
  <c r="P26" i="17" s="1"/>
  <c r="P30" i="17" s="1"/>
  <c r="Q26" i="17" s="1"/>
  <c r="Q30" i="17" s="1"/>
  <c r="R26" i="17" s="1"/>
  <c r="R30" i="17" s="1"/>
  <c r="S26" i="17" s="1"/>
  <c r="S30" i="17" s="1"/>
  <c r="T26" i="17" s="1"/>
  <c r="T30" i="17" s="1"/>
  <c r="U26" i="17" s="1"/>
  <c r="U30" i="17" s="1"/>
  <c r="V26" i="17" s="1"/>
  <c r="V30" i="17" s="1"/>
  <c r="W26" i="17" s="1"/>
  <c r="W30" i="17" s="1"/>
  <c r="X26" i="17" s="1"/>
  <c r="X30" i="17" s="1"/>
  <c r="Y26" i="17" s="1"/>
  <c r="Y30" i="17" s="1"/>
  <c r="Z26" i="17" s="1"/>
  <c r="Z30" i="17" s="1"/>
  <c r="AA26" i="17" s="1"/>
  <c r="AA30" i="17" s="1"/>
  <c r="AB26" i="17" s="1"/>
  <c r="AB30" i="17" s="1"/>
  <c r="AC26" i="17" s="1"/>
  <c r="AC30" i="17" s="1"/>
  <c r="AD26" i="17" s="1"/>
  <c r="AD30" i="17" s="1"/>
  <c r="AE26" i="17" s="1"/>
  <c r="AE30" i="17" s="1"/>
  <c r="AF26" i="17" s="1"/>
  <c r="AF30" i="17" s="1"/>
  <c r="AG26" i="17" s="1"/>
  <c r="AG30" i="17" s="1"/>
  <c r="AH26" i="17" s="1"/>
  <c r="AH30" i="17" s="1"/>
  <c r="AI26" i="17" s="1"/>
  <c r="AI30" i="17" s="1"/>
  <c r="AJ26" i="17" s="1"/>
  <c r="AJ30" i="17" s="1"/>
  <c r="AK26" i="17" s="1"/>
  <c r="AK30" i="17" s="1"/>
  <c r="AL26" i="17" s="1"/>
  <c r="AL30" i="17" s="1"/>
  <c r="AM26" i="17" s="1"/>
  <c r="AM30" i="17" s="1"/>
  <c r="AN26" i="17" s="1"/>
  <c r="AN30" i="17" s="1"/>
  <c r="AO26" i="17" s="1"/>
  <c r="AO30" i="17" s="1"/>
  <c r="AP26" i="17" s="1"/>
  <c r="AP30" i="17" s="1"/>
  <c r="AQ26" i="17" s="1"/>
  <c r="AQ30" i="17" s="1"/>
  <c r="AR26" i="17" s="1"/>
  <c r="AR30" i="17" s="1"/>
  <c r="AS26" i="17" s="1"/>
  <c r="AS30" i="17" s="1"/>
  <c r="AT26" i="17" s="1"/>
  <c r="AT30" i="17" s="1"/>
  <c r="AU26" i="17" s="1"/>
  <c r="AU30" i="17" s="1"/>
  <c r="AV26" i="17" s="1"/>
  <c r="AV30" i="17" s="1"/>
  <c r="AW26" i="17" s="1"/>
  <c r="AW30" i="17" s="1"/>
  <c r="AX26" i="17" s="1"/>
  <c r="AX30" i="17" s="1"/>
  <c r="AY26" i="17" s="1"/>
  <c r="AY30" i="17" s="1"/>
  <c r="AZ26" i="17" s="1"/>
  <c r="AZ30" i="17" s="1"/>
  <c r="BA26" i="17" s="1"/>
  <c r="BA30" i="17" s="1"/>
  <c r="BB26" i="17" s="1"/>
  <c r="BB30" i="17" s="1"/>
  <c r="BC26" i="17" s="1"/>
  <c r="BC30" i="17" s="1"/>
  <c r="BD26" i="17" s="1"/>
  <c r="BD30" i="17" s="1"/>
  <c r="BE26" i="17" s="1"/>
  <c r="BE30" i="17" s="1"/>
  <c r="BF26" i="17" s="1"/>
  <c r="BF30" i="17" s="1"/>
  <c r="BG26" i="17" s="1"/>
  <c r="BG30" i="17" s="1"/>
  <c r="BH26" i="17" s="1"/>
  <c r="BH30" i="17" s="1"/>
  <c r="BI26" i="17" s="1"/>
  <c r="BI30" i="17" s="1"/>
  <c r="BJ26" i="17" s="1"/>
  <c r="BJ30" i="17" s="1"/>
  <c r="BK26" i="17" s="1"/>
  <c r="BK30" i="17" s="1"/>
  <c r="BL26" i="17" s="1"/>
  <c r="BL30" i="17" s="1"/>
  <c r="BM26" i="17" s="1"/>
  <c r="BM30" i="17" s="1"/>
  <c r="BN26" i="17" s="1"/>
  <c r="BN30" i="17" s="1"/>
  <c r="BO26" i="17" s="1"/>
  <c r="BO30" i="17" s="1"/>
  <c r="BP26" i="17" s="1"/>
  <c r="BP30" i="17" s="1"/>
  <c r="BQ26" i="17" s="1"/>
  <c r="BQ30" i="17" s="1"/>
  <c r="BR26" i="17" s="1"/>
  <c r="BR30" i="17" s="1"/>
  <c r="BS26" i="17" s="1"/>
  <c r="BS30" i="17" s="1"/>
  <c r="BT26" i="17" s="1"/>
  <c r="BT30" i="17" s="1"/>
  <c r="BU26" i="17" s="1"/>
  <c r="BU30" i="17" s="1"/>
  <c r="BV26" i="17" s="1"/>
  <c r="BV30" i="17" s="1"/>
  <c r="BW26" i="17" s="1"/>
  <c r="BW30" i="17" s="1"/>
  <c r="BX26" i="17" s="1"/>
  <c r="BX30" i="17" s="1"/>
  <c r="BY26" i="17" s="1"/>
  <c r="BY30" i="17" s="1"/>
  <c r="BZ26" i="17" s="1"/>
  <c r="BZ30" i="17" s="1"/>
  <c r="CA26" i="17" s="1"/>
  <c r="CA30" i="17" s="1"/>
  <c r="CB26" i="17" s="1"/>
  <c r="CB30" i="17" s="1"/>
  <c r="CC26" i="17" s="1"/>
  <c r="CC30" i="17" s="1"/>
  <c r="CD26" i="17" s="1"/>
  <c r="CD30" i="17" s="1"/>
  <c r="CE26" i="17" s="1"/>
  <c r="CE30" i="17" s="1"/>
  <c r="CF26" i="17" s="1"/>
  <c r="CF30" i="17" s="1"/>
  <c r="CG26" i="17" s="1"/>
  <c r="CG30" i="17" s="1"/>
  <c r="CH26" i="17" s="1"/>
  <c r="CH30" i="17" s="1"/>
  <c r="CI26" i="17" s="1"/>
  <c r="CI30" i="17" s="1"/>
  <c r="CJ26" i="17" s="1"/>
  <c r="CJ30" i="17" s="1"/>
  <c r="CK26" i="17" s="1"/>
  <c r="CK30" i="17" s="1"/>
  <c r="CL26" i="17" s="1"/>
  <c r="CL30" i="17" s="1"/>
  <c r="CM26" i="17" s="1"/>
  <c r="CM30" i="17" s="1"/>
  <c r="CN26" i="17" s="1"/>
  <c r="CN30" i="17" s="1"/>
  <c r="CO26" i="17" s="1"/>
  <c r="CO30" i="17" s="1"/>
  <c r="CP26" i="17" s="1"/>
  <c r="CP30" i="17" s="1"/>
  <c r="CQ26" i="17" s="1"/>
  <c r="CQ30" i="17" s="1"/>
  <c r="CR26" i="17" s="1"/>
  <c r="CR30" i="17" s="1"/>
  <c r="CS26" i="17" s="1"/>
  <c r="CS30" i="17" s="1"/>
  <c r="CT26" i="17" s="1"/>
  <c r="CT30" i="17" s="1"/>
  <c r="CU26" i="17" s="1"/>
  <c r="CU30" i="17" s="1"/>
  <c r="CV26" i="17" s="1"/>
  <c r="CV30" i="17" s="1"/>
  <c r="CW26" i="17" s="1"/>
  <c r="CW30" i="17" s="1"/>
  <c r="CX26" i="17" s="1"/>
  <c r="CX30" i="17" s="1"/>
  <c r="G21" i="6"/>
  <c r="E5" i="5" s="1"/>
  <c r="F5" i="5" s="1"/>
  <c r="B9" i="5"/>
  <c r="H12" i="6"/>
  <c r="G19" i="6" s="1"/>
  <c r="H15" i="6"/>
  <c r="H13" i="6"/>
  <c r="S252" i="10"/>
  <c r="C4" i="5" s="1"/>
  <c r="T252" i="10"/>
  <c r="D4" i="5" s="1"/>
  <c r="G20" i="6" l="1"/>
  <c r="E4" i="5" s="1"/>
  <c r="F4" i="5" s="1"/>
  <c r="G22" i="6"/>
  <c r="E7" i="5" s="1"/>
  <c r="F7" i="5" s="1"/>
  <c r="D9" i="5"/>
  <c r="C9" i="5"/>
  <c r="E3" i="5"/>
  <c r="E3" i="1"/>
  <c r="F3" i="1" s="1"/>
  <c r="E4" i="1"/>
  <c r="F4" i="1" s="1"/>
  <c r="E5" i="1"/>
  <c r="F5" i="1" s="1"/>
  <c r="E6" i="1"/>
  <c r="F6" i="1" s="1"/>
  <c r="J6" i="1" s="1"/>
  <c r="E7" i="1"/>
  <c r="F7" i="1" s="1"/>
  <c r="E8" i="1"/>
  <c r="F8" i="1" s="1"/>
  <c r="E9" i="1"/>
  <c r="F9" i="1" s="1"/>
  <c r="E10" i="1"/>
  <c r="F10" i="1" s="1"/>
  <c r="J10" i="1" s="1"/>
  <c r="E11" i="1"/>
  <c r="F11" i="1" s="1"/>
  <c r="E12" i="1"/>
  <c r="F12" i="1" s="1"/>
  <c r="E13" i="1"/>
  <c r="F13" i="1" s="1"/>
  <c r="E14" i="1"/>
  <c r="F14" i="1" s="1"/>
  <c r="J14" i="1" s="1"/>
  <c r="E15" i="1"/>
  <c r="F15" i="1" s="1"/>
  <c r="E16" i="1"/>
  <c r="F16" i="1" s="1"/>
  <c r="E17" i="1"/>
  <c r="F17" i="1" s="1"/>
  <c r="E18" i="1"/>
  <c r="F18" i="1" s="1"/>
  <c r="J18" i="1" s="1"/>
  <c r="E19" i="1"/>
  <c r="F19" i="1" s="1"/>
  <c r="E20" i="1"/>
  <c r="F20" i="1" s="1"/>
  <c r="E21" i="1"/>
  <c r="F21" i="1" s="1"/>
  <c r="E22" i="1"/>
  <c r="F22" i="1" s="1"/>
  <c r="J22" i="1" s="1"/>
  <c r="E23" i="1"/>
  <c r="F23" i="1" s="1"/>
  <c r="E24" i="1"/>
  <c r="F24" i="1" s="1"/>
  <c r="E25" i="1"/>
  <c r="F25" i="1" s="1"/>
  <c r="E26" i="1"/>
  <c r="F26" i="1" s="1"/>
  <c r="J26" i="1" s="1"/>
  <c r="E27" i="1"/>
  <c r="F27" i="1" s="1"/>
  <c r="E28" i="1"/>
  <c r="F28" i="1" s="1"/>
  <c r="E29" i="1"/>
  <c r="F29" i="1" s="1"/>
  <c r="E30" i="1"/>
  <c r="F30" i="1" s="1"/>
  <c r="J30" i="1" s="1"/>
  <c r="E31" i="1"/>
  <c r="F31" i="1" s="1"/>
  <c r="E32" i="1"/>
  <c r="F32" i="1" s="1"/>
  <c r="E33" i="1"/>
  <c r="F33" i="1" s="1"/>
  <c r="E34" i="1"/>
  <c r="F34" i="1" s="1"/>
  <c r="J34" i="1" s="1"/>
  <c r="E35" i="1"/>
  <c r="F35" i="1" s="1"/>
  <c r="E36" i="1"/>
  <c r="F36" i="1" s="1"/>
  <c r="E37" i="1"/>
  <c r="F37" i="1" s="1"/>
  <c r="E38" i="1"/>
  <c r="F38" i="1" s="1"/>
  <c r="J38" i="1" s="1"/>
  <c r="E39" i="1"/>
  <c r="F39" i="1" s="1"/>
  <c r="E40" i="1"/>
  <c r="F40" i="1" s="1"/>
  <c r="E41" i="1"/>
  <c r="F41" i="1" s="1"/>
  <c r="E42" i="1"/>
  <c r="F42" i="1" s="1"/>
  <c r="J42" i="1" s="1"/>
  <c r="E43" i="1"/>
  <c r="F43" i="1" s="1"/>
  <c r="E44" i="1"/>
  <c r="F44" i="1" s="1"/>
  <c r="E45" i="1"/>
  <c r="F45" i="1" s="1"/>
  <c r="E46" i="1"/>
  <c r="F46" i="1" s="1"/>
  <c r="J46" i="1" s="1"/>
  <c r="E47" i="1"/>
  <c r="F47" i="1" s="1"/>
  <c r="E48" i="1"/>
  <c r="F48" i="1" s="1"/>
  <c r="E49" i="1"/>
  <c r="F49" i="1" s="1"/>
  <c r="E50" i="1"/>
  <c r="F50" i="1" s="1"/>
  <c r="J50" i="1" s="1"/>
  <c r="E51" i="1"/>
  <c r="F51" i="1" s="1"/>
  <c r="E52" i="1"/>
  <c r="F52" i="1" s="1"/>
  <c r="E53" i="1"/>
  <c r="F53" i="1" s="1"/>
  <c r="E54" i="1"/>
  <c r="F54" i="1" s="1"/>
  <c r="J54" i="1" s="1"/>
  <c r="E55" i="1"/>
  <c r="F55" i="1" s="1"/>
  <c r="E56" i="1"/>
  <c r="F56" i="1" s="1"/>
  <c r="E57" i="1"/>
  <c r="F57" i="1" s="1"/>
  <c r="E58" i="1"/>
  <c r="F58" i="1" s="1"/>
  <c r="J58" i="1" s="1"/>
  <c r="E59" i="1"/>
  <c r="F59" i="1" s="1"/>
  <c r="E60" i="1"/>
  <c r="F60" i="1" s="1"/>
  <c r="E61" i="1"/>
  <c r="F61" i="1" s="1"/>
  <c r="E62" i="1"/>
  <c r="F62" i="1" s="1"/>
  <c r="J62" i="1" s="1"/>
  <c r="E63" i="1"/>
  <c r="F63" i="1" s="1"/>
  <c r="E64" i="1"/>
  <c r="F64" i="1" s="1"/>
  <c r="E65" i="1"/>
  <c r="F65" i="1" s="1"/>
  <c r="E66" i="1"/>
  <c r="F66" i="1" s="1"/>
  <c r="J66" i="1" s="1"/>
  <c r="E67" i="1"/>
  <c r="F67" i="1" s="1"/>
  <c r="E68" i="1"/>
  <c r="F68" i="1" s="1"/>
  <c r="E69" i="1"/>
  <c r="F69" i="1" s="1"/>
  <c r="E70" i="1"/>
  <c r="F70" i="1" s="1"/>
  <c r="J70" i="1" s="1"/>
  <c r="E71" i="1"/>
  <c r="F71" i="1" s="1"/>
  <c r="E72" i="1"/>
  <c r="F72" i="1" s="1"/>
  <c r="E73" i="1"/>
  <c r="F73" i="1" s="1"/>
  <c r="E74" i="1"/>
  <c r="F74" i="1" s="1"/>
  <c r="J74" i="1" s="1"/>
  <c r="E75" i="1"/>
  <c r="F75" i="1" s="1"/>
  <c r="E76" i="1"/>
  <c r="F76" i="1" s="1"/>
  <c r="E77" i="1"/>
  <c r="F77" i="1" s="1"/>
  <c r="E78" i="1"/>
  <c r="F78" i="1" s="1"/>
  <c r="J78" i="1" s="1"/>
  <c r="E79" i="1"/>
  <c r="F79" i="1" s="1"/>
  <c r="E80" i="1"/>
  <c r="F80" i="1" s="1"/>
  <c r="E81" i="1"/>
  <c r="F81" i="1" s="1"/>
  <c r="E82" i="1"/>
  <c r="F82" i="1" s="1"/>
  <c r="J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J90" i="1" s="1"/>
  <c r="E91" i="1"/>
  <c r="F91" i="1" s="1"/>
  <c r="E92" i="1"/>
  <c r="F92" i="1" s="1"/>
  <c r="E93" i="1"/>
  <c r="F93" i="1" s="1"/>
  <c r="E94" i="1"/>
  <c r="F94" i="1" s="1"/>
  <c r="J94" i="1" s="1"/>
  <c r="E95" i="1"/>
  <c r="F95" i="1" s="1"/>
  <c r="E96" i="1"/>
  <c r="F96" i="1" s="1"/>
  <c r="E97" i="1"/>
  <c r="F97" i="1" s="1"/>
  <c r="E98" i="1"/>
  <c r="F98" i="1" s="1"/>
  <c r="J98" i="1" s="1"/>
  <c r="E99" i="1"/>
  <c r="F99" i="1" s="1"/>
  <c r="E100" i="1"/>
  <c r="F100" i="1" s="1"/>
  <c r="E101" i="1"/>
  <c r="F101" i="1" s="1"/>
  <c r="E102" i="1"/>
  <c r="F102" i="1" s="1"/>
  <c r="J102" i="1" s="1"/>
  <c r="E103" i="1"/>
  <c r="F103" i="1" s="1"/>
  <c r="E104" i="1"/>
  <c r="F104" i="1" s="1"/>
  <c r="E105" i="1"/>
  <c r="F105" i="1" s="1"/>
  <c r="E106" i="1"/>
  <c r="F106" i="1" s="1"/>
  <c r="J106" i="1" s="1"/>
  <c r="E107" i="1"/>
  <c r="F107" i="1" s="1"/>
  <c r="E108" i="1"/>
  <c r="F108" i="1" s="1"/>
  <c r="E109" i="1"/>
  <c r="F109" i="1" s="1"/>
  <c r="E110" i="1"/>
  <c r="F110" i="1" s="1"/>
  <c r="J110" i="1" s="1"/>
  <c r="E111" i="1"/>
  <c r="F111" i="1" s="1"/>
  <c r="E112" i="1"/>
  <c r="F112" i="1" s="1"/>
  <c r="E113" i="1"/>
  <c r="F113" i="1" s="1"/>
  <c r="E114" i="1"/>
  <c r="F114" i="1" s="1"/>
  <c r="J114" i="1" s="1"/>
  <c r="E115" i="1"/>
  <c r="F115" i="1" s="1"/>
  <c r="E116" i="1"/>
  <c r="F116" i="1" s="1"/>
  <c r="E117" i="1"/>
  <c r="F117" i="1" s="1"/>
  <c r="E118" i="1"/>
  <c r="F118" i="1" s="1"/>
  <c r="J118" i="1" s="1"/>
  <c r="E119" i="1"/>
  <c r="F119" i="1" s="1"/>
  <c r="E120" i="1"/>
  <c r="F120" i="1" s="1"/>
  <c r="E121" i="1"/>
  <c r="F121" i="1" s="1"/>
  <c r="E122" i="1"/>
  <c r="F122" i="1" s="1"/>
  <c r="J122" i="1" s="1"/>
  <c r="E123" i="1"/>
  <c r="F123" i="1" s="1"/>
  <c r="E124" i="1"/>
  <c r="F124" i="1" s="1"/>
  <c r="E125" i="1"/>
  <c r="F125" i="1" s="1"/>
  <c r="E126" i="1"/>
  <c r="F126" i="1" s="1"/>
  <c r="J126" i="1" s="1"/>
  <c r="E127" i="1"/>
  <c r="F127" i="1" s="1"/>
  <c r="E128" i="1"/>
  <c r="F128" i="1" s="1"/>
  <c r="E129" i="1"/>
  <c r="F129" i="1" s="1"/>
  <c r="E130" i="1"/>
  <c r="F130" i="1" s="1"/>
  <c r="J130" i="1" s="1"/>
  <c r="E131" i="1"/>
  <c r="F131" i="1" s="1"/>
  <c r="E132" i="1"/>
  <c r="F132" i="1" s="1"/>
  <c r="E133" i="1"/>
  <c r="F133" i="1" s="1"/>
  <c r="E134" i="1"/>
  <c r="F134" i="1" s="1"/>
  <c r="J134" i="1" s="1"/>
  <c r="E135" i="1"/>
  <c r="F135" i="1" s="1"/>
  <c r="E136" i="1"/>
  <c r="F136" i="1" s="1"/>
  <c r="E137" i="1"/>
  <c r="F137" i="1" s="1"/>
  <c r="E138" i="1"/>
  <c r="F138" i="1" s="1"/>
  <c r="J138" i="1" s="1"/>
  <c r="E139" i="1"/>
  <c r="F139" i="1" s="1"/>
  <c r="E140" i="1"/>
  <c r="F140" i="1" s="1"/>
  <c r="E141" i="1"/>
  <c r="F141" i="1" s="1"/>
  <c r="E142" i="1"/>
  <c r="F142" i="1" s="1"/>
  <c r="J142" i="1" s="1"/>
  <c r="E143" i="1"/>
  <c r="F143" i="1" s="1"/>
  <c r="E144" i="1"/>
  <c r="F144" i="1" s="1"/>
  <c r="E145" i="1"/>
  <c r="F145" i="1" s="1"/>
  <c r="E146" i="1"/>
  <c r="F146" i="1" s="1"/>
  <c r="J146" i="1" s="1"/>
  <c r="E147" i="1"/>
  <c r="F147" i="1" s="1"/>
  <c r="E148" i="1"/>
  <c r="F148" i="1" s="1"/>
  <c r="E149" i="1"/>
  <c r="F149" i="1" s="1"/>
  <c r="E150" i="1"/>
  <c r="F150" i="1" s="1"/>
  <c r="J150" i="1" s="1"/>
  <c r="E151" i="1"/>
  <c r="F151" i="1" s="1"/>
  <c r="E152" i="1"/>
  <c r="F152" i="1" s="1"/>
  <c r="E153" i="1"/>
  <c r="F153" i="1" s="1"/>
  <c r="E154" i="1"/>
  <c r="F154" i="1" s="1"/>
  <c r="J154" i="1" s="1"/>
  <c r="E155" i="1"/>
  <c r="F155" i="1" s="1"/>
  <c r="E156" i="1"/>
  <c r="F156" i="1" s="1"/>
  <c r="E157" i="1"/>
  <c r="F157" i="1" s="1"/>
  <c r="E158" i="1"/>
  <c r="F158" i="1" s="1"/>
  <c r="J158" i="1" s="1"/>
  <c r="E159" i="1"/>
  <c r="F159" i="1" s="1"/>
  <c r="E160" i="1"/>
  <c r="F160" i="1" s="1"/>
  <c r="E161" i="1"/>
  <c r="F161" i="1" s="1"/>
  <c r="E162" i="1"/>
  <c r="F162" i="1" s="1"/>
  <c r="J162" i="1" s="1"/>
  <c r="E163" i="1"/>
  <c r="F163" i="1" s="1"/>
  <c r="E164" i="1"/>
  <c r="F164" i="1" s="1"/>
  <c r="E165" i="1"/>
  <c r="F165" i="1" s="1"/>
  <c r="E166" i="1"/>
  <c r="F166" i="1" s="1"/>
  <c r="J166" i="1" s="1"/>
  <c r="E167" i="1"/>
  <c r="F167" i="1" s="1"/>
  <c r="E168" i="1"/>
  <c r="F168" i="1" s="1"/>
  <c r="E169" i="1"/>
  <c r="F169" i="1" s="1"/>
  <c r="E170" i="1"/>
  <c r="F170" i="1" s="1"/>
  <c r="J170" i="1" s="1"/>
  <c r="E171" i="1"/>
  <c r="F171" i="1" s="1"/>
  <c r="E172" i="1"/>
  <c r="F172" i="1" s="1"/>
  <c r="E173" i="1"/>
  <c r="F173" i="1" s="1"/>
  <c r="E174" i="1"/>
  <c r="F174" i="1" s="1"/>
  <c r="J174" i="1" s="1"/>
  <c r="E175" i="1"/>
  <c r="F175" i="1" s="1"/>
  <c r="E176" i="1"/>
  <c r="F176" i="1" s="1"/>
  <c r="E177" i="1"/>
  <c r="F177" i="1" s="1"/>
  <c r="E178" i="1"/>
  <c r="F178" i="1" s="1"/>
  <c r="J178" i="1" s="1"/>
  <c r="E179" i="1"/>
  <c r="F179" i="1" s="1"/>
  <c r="E180" i="1"/>
  <c r="F180" i="1" s="1"/>
  <c r="E181" i="1"/>
  <c r="F181" i="1" s="1"/>
  <c r="E182" i="1"/>
  <c r="F182" i="1" s="1"/>
  <c r="J182" i="1" s="1"/>
  <c r="E183" i="1"/>
  <c r="F183" i="1" s="1"/>
  <c r="E184" i="1"/>
  <c r="F184" i="1" s="1"/>
  <c r="E185" i="1"/>
  <c r="F185" i="1" s="1"/>
  <c r="E186" i="1"/>
  <c r="F186" i="1" s="1"/>
  <c r="J186" i="1" s="1"/>
  <c r="E187" i="1"/>
  <c r="F187" i="1" s="1"/>
  <c r="E188" i="1"/>
  <c r="F188" i="1" s="1"/>
  <c r="E189" i="1"/>
  <c r="F189" i="1" s="1"/>
  <c r="E190" i="1"/>
  <c r="F190" i="1" s="1"/>
  <c r="J190" i="1" s="1"/>
  <c r="E191" i="1"/>
  <c r="F191" i="1" s="1"/>
  <c r="E192" i="1"/>
  <c r="F192" i="1" s="1"/>
  <c r="E193" i="1"/>
  <c r="F193" i="1" s="1"/>
  <c r="E194" i="1"/>
  <c r="F194" i="1" s="1"/>
  <c r="J194" i="1" s="1"/>
  <c r="E195" i="1"/>
  <c r="F195" i="1" s="1"/>
  <c r="E196" i="1"/>
  <c r="F196" i="1" s="1"/>
  <c r="E197" i="1"/>
  <c r="F197" i="1" s="1"/>
  <c r="E198" i="1"/>
  <c r="F198" i="1" s="1"/>
  <c r="J198" i="1" s="1"/>
  <c r="E199" i="1"/>
  <c r="F199" i="1" s="1"/>
  <c r="E200" i="1"/>
  <c r="F200" i="1" s="1"/>
  <c r="E201" i="1"/>
  <c r="F201" i="1" s="1"/>
  <c r="E202" i="1"/>
  <c r="F202" i="1" s="1"/>
  <c r="J202" i="1" s="1"/>
  <c r="E203" i="1"/>
  <c r="F203" i="1" s="1"/>
  <c r="E204" i="1"/>
  <c r="F204" i="1" s="1"/>
  <c r="E205" i="1"/>
  <c r="F205" i="1" s="1"/>
  <c r="E206" i="1"/>
  <c r="F206" i="1" s="1"/>
  <c r="J206" i="1" s="1"/>
  <c r="E207" i="1"/>
  <c r="F207" i="1" s="1"/>
  <c r="E208" i="1"/>
  <c r="F208" i="1" s="1"/>
  <c r="E209" i="1"/>
  <c r="F209" i="1" s="1"/>
  <c r="E210" i="1"/>
  <c r="F210" i="1" s="1"/>
  <c r="J210" i="1" s="1"/>
  <c r="E211" i="1"/>
  <c r="F211" i="1" s="1"/>
  <c r="E212" i="1"/>
  <c r="F212" i="1" s="1"/>
  <c r="E213" i="1"/>
  <c r="F213" i="1" s="1"/>
  <c r="E214" i="1"/>
  <c r="F214" i="1" s="1"/>
  <c r="J214" i="1" s="1"/>
  <c r="E215" i="1"/>
  <c r="F215" i="1" s="1"/>
  <c r="E216" i="1"/>
  <c r="F216" i="1" s="1"/>
  <c r="E217" i="1"/>
  <c r="F217" i="1" s="1"/>
  <c r="E218" i="1"/>
  <c r="F218" i="1" s="1"/>
  <c r="J218" i="1" s="1"/>
  <c r="E219" i="1"/>
  <c r="F219" i="1" s="1"/>
  <c r="E220" i="1"/>
  <c r="F220" i="1" s="1"/>
  <c r="E221" i="1"/>
  <c r="F221" i="1" s="1"/>
  <c r="E222" i="1"/>
  <c r="F222" i="1" s="1"/>
  <c r="J222" i="1" s="1"/>
  <c r="E223" i="1"/>
  <c r="F223" i="1" s="1"/>
  <c r="E224" i="1"/>
  <c r="F224" i="1" s="1"/>
  <c r="E225" i="1"/>
  <c r="F225" i="1" s="1"/>
  <c r="E226" i="1"/>
  <c r="F226" i="1" s="1"/>
  <c r="J226" i="1" s="1"/>
  <c r="E227" i="1"/>
  <c r="F227" i="1" s="1"/>
  <c r="E228" i="1"/>
  <c r="F228" i="1" s="1"/>
  <c r="E229" i="1"/>
  <c r="F229" i="1" s="1"/>
  <c r="E230" i="1"/>
  <c r="F230" i="1" s="1"/>
  <c r="J230" i="1" s="1"/>
  <c r="E231" i="1"/>
  <c r="F231" i="1" s="1"/>
  <c r="E232" i="1"/>
  <c r="F232" i="1" s="1"/>
  <c r="E233" i="1"/>
  <c r="F233" i="1" s="1"/>
  <c r="E234" i="1"/>
  <c r="F234" i="1" s="1"/>
  <c r="J234" i="1" s="1"/>
  <c r="E235" i="1"/>
  <c r="F235" i="1" s="1"/>
  <c r="E236" i="1"/>
  <c r="F236" i="1" s="1"/>
  <c r="E237" i="1"/>
  <c r="F237" i="1" s="1"/>
  <c r="E238" i="1"/>
  <c r="F238" i="1" s="1"/>
  <c r="J238" i="1" s="1"/>
  <c r="E239" i="1"/>
  <c r="F239" i="1" s="1"/>
  <c r="E240" i="1"/>
  <c r="F240" i="1" s="1"/>
  <c r="E241" i="1"/>
  <c r="F241" i="1" s="1"/>
  <c r="E242" i="1"/>
  <c r="F242" i="1" s="1"/>
  <c r="J242" i="1" s="1"/>
  <c r="E243" i="1"/>
  <c r="F243" i="1" s="1"/>
  <c r="E244" i="1"/>
  <c r="F244" i="1" s="1"/>
  <c r="E245" i="1"/>
  <c r="F245" i="1" s="1"/>
  <c r="E246" i="1"/>
  <c r="F246" i="1" s="1"/>
  <c r="J246" i="1" s="1"/>
  <c r="E247" i="1"/>
  <c r="F247" i="1" s="1"/>
  <c r="E248" i="1"/>
  <c r="F248" i="1" s="1"/>
  <c r="E249" i="1"/>
  <c r="F249" i="1" s="1"/>
  <c r="E250" i="1"/>
  <c r="F250" i="1" s="1"/>
  <c r="J250" i="1" s="1"/>
  <c r="E2" i="1"/>
  <c r="F2" i="1" s="1"/>
  <c r="J86" i="1"/>
  <c r="E9" i="5" l="1"/>
  <c r="E18" i="5" s="1"/>
  <c r="G24" i="6"/>
  <c r="F3" i="5"/>
  <c r="F9" i="5" s="1"/>
  <c r="I245" i="1"/>
  <c r="J245" i="1"/>
  <c r="I237" i="1"/>
  <c r="J237" i="1"/>
  <c r="I233" i="1"/>
  <c r="J233" i="1"/>
  <c r="I229" i="1"/>
  <c r="J229" i="1"/>
  <c r="I225" i="1"/>
  <c r="J225" i="1"/>
  <c r="I221" i="1"/>
  <c r="J221" i="1"/>
  <c r="I217" i="1"/>
  <c r="J217" i="1"/>
  <c r="I213" i="1"/>
  <c r="J213" i="1"/>
  <c r="I209" i="1"/>
  <c r="J209" i="1"/>
  <c r="I205" i="1"/>
  <c r="J205" i="1"/>
  <c r="I201" i="1"/>
  <c r="J201" i="1"/>
  <c r="I197" i="1"/>
  <c r="J197" i="1"/>
  <c r="I193" i="1"/>
  <c r="J193" i="1"/>
  <c r="I189" i="1"/>
  <c r="J189" i="1"/>
  <c r="I185" i="1"/>
  <c r="J185" i="1"/>
  <c r="I181" i="1"/>
  <c r="J181" i="1"/>
  <c r="I177" i="1"/>
  <c r="J177" i="1"/>
  <c r="I173" i="1"/>
  <c r="J173" i="1"/>
  <c r="I169" i="1"/>
  <c r="J169" i="1"/>
  <c r="I165" i="1"/>
  <c r="J165" i="1"/>
  <c r="I161" i="1"/>
  <c r="J161" i="1"/>
  <c r="I157" i="1"/>
  <c r="J157" i="1"/>
  <c r="I153" i="1"/>
  <c r="J153" i="1"/>
  <c r="I149" i="1"/>
  <c r="J149" i="1"/>
  <c r="I145" i="1"/>
  <c r="J145" i="1"/>
  <c r="I141" i="1"/>
  <c r="J141" i="1"/>
  <c r="I137" i="1"/>
  <c r="J137" i="1"/>
  <c r="I133" i="1"/>
  <c r="J133" i="1"/>
  <c r="I129" i="1"/>
  <c r="J129" i="1"/>
  <c r="I125" i="1"/>
  <c r="J125" i="1"/>
  <c r="I121" i="1"/>
  <c r="J121" i="1"/>
  <c r="I117" i="1"/>
  <c r="J117" i="1"/>
  <c r="I113" i="1"/>
  <c r="J113" i="1"/>
  <c r="I109" i="1"/>
  <c r="J109" i="1"/>
  <c r="I105" i="1"/>
  <c r="J105" i="1"/>
  <c r="I101" i="1"/>
  <c r="J101" i="1"/>
  <c r="I97" i="1"/>
  <c r="J97" i="1"/>
  <c r="I93" i="1"/>
  <c r="J93" i="1"/>
  <c r="I89" i="1"/>
  <c r="J89" i="1"/>
  <c r="I85" i="1"/>
  <c r="J85" i="1"/>
  <c r="I81" i="1"/>
  <c r="J81" i="1"/>
  <c r="I77" i="1"/>
  <c r="J77" i="1"/>
  <c r="I73" i="1"/>
  <c r="J73" i="1"/>
  <c r="I69" i="1"/>
  <c r="J69" i="1"/>
  <c r="I65" i="1"/>
  <c r="J65" i="1"/>
  <c r="I61" i="1"/>
  <c r="J61" i="1"/>
  <c r="I57" i="1"/>
  <c r="J57" i="1"/>
  <c r="I53" i="1"/>
  <c r="J53" i="1"/>
  <c r="I49" i="1"/>
  <c r="J49" i="1"/>
  <c r="I45" i="1"/>
  <c r="J45" i="1"/>
  <c r="I41" i="1"/>
  <c r="J41" i="1"/>
  <c r="I37" i="1"/>
  <c r="J37" i="1"/>
  <c r="I33" i="1"/>
  <c r="J33" i="1"/>
  <c r="I29" i="1"/>
  <c r="J29" i="1"/>
  <c r="I25" i="1"/>
  <c r="J25" i="1"/>
  <c r="I21" i="1"/>
  <c r="J21" i="1"/>
  <c r="I17" i="1"/>
  <c r="J17" i="1"/>
  <c r="I13" i="1"/>
  <c r="J13" i="1"/>
  <c r="I9" i="1"/>
  <c r="J9" i="1"/>
  <c r="I5" i="1"/>
  <c r="J5" i="1"/>
  <c r="I238" i="1"/>
  <c r="I222" i="1"/>
  <c r="I206" i="1"/>
  <c r="I190" i="1"/>
  <c r="I174" i="1"/>
  <c r="I158" i="1"/>
  <c r="I142" i="1"/>
  <c r="I126" i="1"/>
  <c r="I110" i="1"/>
  <c r="I94" i="1"/>
  <c r="I78" i="1"/>
  <c r="I62" i="1"/>
  <c r="I46" i="1"/>
  <c r="I30" i="1"/>
  <c r="I14" i="1"/>
  <c r="I241" i="1"/>
  <c r="J241" i="1"/>
  <c r="I244" i="1"/>
  <c r="J244" i="1"/>
  <c r="I236" i="1"/>
  <c r="J236" i="1"/>
  <c r="I228" i="1"/>
  <c r="J228" i="1"/>
  <c r="I220" i="1"/>
  <c r="J220" i="1"/>
  <c r="I216" i="1"/>
  <c r="J216" i="1"/>
  <c r="I212" i="1"/>
  <c r="J212" i="1"/>
  <c r="I208" i="1"/>
  <c r="J208" i="1"/>
  <c r="I204" i="1"/>
  <c r="J204" i="1"/>
  <c r="I200" i="1"/>
  <c r="J200" i="1"/>
  <c r="I196" i="1"/>
  <c r="J196" i="1"/>
  <c r="I192" i="1"/>
  <c r="J192" i="1"/>
  <c r="I188" i="1"/>
  <c r="J188" i="1"/>
  <c r="I184" i="1"/>
  <c r="J184" i="1"/>
  <c r="I180" i="1"/>
  <c r="J180" i="1"/>
  <c r="I176" i="1"/>
  <c r="J176" i="1"/>
  <c r="I172" i="1"/>
  <c r="J172" i="1"/>
  <c r="I168" i="1"/>
  <c r="J168" i="1"/>
  <c r="I164" i="1"/>
  <c r="J164" i="1"/>
  <c r="I160" i="1"/>
  <c r="J160" i="1"/>
  <c r="I156" i="1"/>
  <c r="J156" i="1"/>
  <c r="I152" i="1"/>
  <c r="J152" i="1"/>
  <c r="I148" i="1"/>
  <c r="J148" i="1"/>
  <c r="I144" i="1"/>
  <c r="J144" i="1"/>
  <c r="I140" i="1"/>
  <c r="J140" i="1"/>
  <c r="I136" i="1"/>
  <c r="J136" i="1"/>
  <c r="I132" i="1"/>
  <c r="J132" i="1"/>
  <c r="I128" i="1"/>
  <c r="J128" i="1"/>
  <c r="I124" i="1"/>
  <c r="J124" i="1"/>
  <c r="I120" i="1"/>
  <c r="J120" i="1"/>
  <c r="I116" i="1"/>
  <c r="J116" i="1"/>
  <c r="I112" i="1"/>
  <c r="J112" i="1"/>
  <c r="I108" i="1"/>
  <c r="J108" i="1"/>
  <c r="I104" i="1"/>
  <c r="J104" i="1"/>
  <c r="I100" i="1"/>
  <c r="J100" i="1"/>
  <c r="I96" i="1"/>
  <c r="J96" i="1"/>
  <c r="I92" i="1"/>
  <c r="J92" i="1"/>
  <c r="I88" i="1"/>
  <c r="J88" i="1"/>
  <c r="I84" i="1"/>
  <c r="J84" i="1"/>
  <c r="I80" i="1"/>
  <c r="J80" i="1"/>
  <c r="I76" i="1"/>
  <c r="J76" i="1"/>
  <c r="I72" i="1"/>
  <c r="J72" i="1"/>
  <c r="I68" i="1"/>
  <c r="J68" i="1"/>
  <c r="I64" i="1"/>
  <c r="J64" i="1"/>
  <c r="I60" i="1"/>
  <c r="J60" i="1"/>
  <c r="I56" i="1"/>
  <c r="J56" i="1"/>
  <c r="I52" i="1"/>
  <c r="J52" i="1"/>
  <c r="I48" i="1"/>
  <c r="J48" i="1"/>
  <c r="I44" i="1"/>
  <c r="J44" i="1"/>
  <c r="I40" i="1"/>
  <c r="J40" i="1"/>
  <c r="I36" i="1"/>
  <c r="J36" i="1"/>
  <c r="I32" i="1"/>
  <c r="J32" i="1"/>
  <c r="I28" i="1"/>
  <c r="J28" i="1"/>
  <c r="I24" i="1"/>
  <c r="J24" i="1"/>
  <c r="I20" i="1"/>
  <c r="J20" i="1"/>
  <c r="I16" i="1"/>
  <c r="J16" i="1"/>
  <c r="I12" i="1"/>
  <c r="J12" i="1"/>
  <c r="I8" i="1"/>
  <c r="J8" i="1"/>
  <c r="I4" i="1"/>
  <c r="J4" i="1"/>
  <c r="I250" i="1"/>
  <c r="I234" i="1"/>
  <c r="I218" i="1"/>
  <c r="I202" i="1"/>
  <c r="I186" i="1"/>
  <c r="I170" i="1"/>
  <c r="I154" i="1"/>
  <c r="I138" i="1"/>
  <c r="I122" i="1"/>
  <c r="I106" i="1"/>
  <c r="I90" i="1"/>
  <c r="I74" i="1"/>
  <c r="I58" i="1"/>
  <c r="I42" i="1"/>
  <c r="I26" i="1"/>
  <c r="I10" i="1"/>
  <c r="I249" i="1"/>
  <c r="J249" i="1"/>
  <c r="I248" i="1"/>
  <c r="J248" i="1"/>
  <c r="I240" i="1"/>
  <c r="J240" i="1"/>
  <c r="I232" i="1"/>
  <c r="J232" i="1"/>
  <c r="I224" i="1"/>
  <c r="J224" i="1"/>
  <c r="I2" i="1"/>
  <c r="J2" i="1"/>
  <c r="F252" i="1"/>
  <c r="B12" i="5" s="1"/>
  <c r="B18" i="5" s="1"/>
  <c r="I247" i="1"/>
  <c r="J247" i="1"/>
  <c r="I243" i="1"/>
  <c r="J243" i="1"/>
  <c r="I239" i="1"/>
  <c r="J239" i="1"/>
  <c r="I235" i="1"/>
  <c r="J235" i="1"/>
  <c r="I231" i="1"/>
  <c r="J231" i="1"/>
  <c r="I227" i="1"/>
  <c r="J227" i="1"/>
  <c r="I223" i="1"/>
  <c r="J223" i="1"/>
  <c r="I219" i="1"/>
  <c r="J219" i="1"/>
  <c r="I215" i="1"/>
  <c r="J215" i="1"/>
  <c r="I211" i="1"/>
  <c r="J211" i="1"/>
  <c r="I207" i="1"/>
  <c r="J207" i="1"/>
  <c r="I203" i="1"/>
  <c r="J203" i="1"/>
  <c r="I199" i="1"/>
  <c r="J199" i="1"/>
  <c r="I195" i="1"/>
  <c r="J195" i="1"/>
  <c r="I191" i="1"/>
  <c r="J191" i="1"/>
  <c r="I187" i="1"/>
  <c r="J187" i="1"/>
  <c r="I183" i="1"/>
  <c r="J183" i="1"/>
  <c r="I179" i="1"/>
  <c r="J179" i="1"/>
  <c r="I175" i="1"/>
  <c r="J175" i="1"/>
  <c r="I171" i="1"/>
  <c r="J171" i="1"/>
  <c r="I167" i="1"/>
  <c r="J167" i="1"/>
  <c r="I163" i="1"/>
  <c r="J163" i="1"/>
  <c r="I159" i="1"/>
  <c r="J159" i="1"/>
  <c r="I155" i="1"/>
  <c r="J155" i="1"/>
  <c r="I151" i="1"/>
  <c r="J151" i="1"/>
  <c r="I147" i="1"/>
  <c r="J147" i="1"/>
  <c r="I143" i="1"/>
  <c r="J143" i="1"/>
  <c r="I139" i="1"/>
  <c r="J139" i="1"/>
  <c r="I135" i="1"/>
  <c r="J135" i="1"/>
  <c r="I131" i="1"/>
  <c r="J131" i="1"/>
  <c r="I127" i="1"/>
  <c r="J127" i="1"/>
  <c r="I123" i="1"/>
  <c r="J123" i="1"/>
  <c r="I119" i="1"/>
  <c r="J119" i="1"/>
  <c r="I115" i="1"/>
  <c r="J115" i="1"/>
  <c r="I111" i="1"/>
  <c r="J111" i="1"/>
  <c r="I107" i="1"/>
  <c r="J107" i="1"/>
  <c r="I103" i="1"/>
  <c r="J103" i="1"/>
  <c r="I99" i="1"/>
  <c r="J99" i="1"/>
  <c r="I95" i="1"/>
  <c r="J95" i="1"/>
  <c r="I91" i="1"/>
  <c r="J91" i="1"/>
  <c r="I87" i="1"/>
  <c r="J87" i="1"/>
  <c r="I83" i="1"/>
  <c r="J83" i="1"/>
  <c r="I79" i="1"/>
  <c r="J79" i="1"/>
  <c r="I75" i="1"/>
  <c r="J75" i="1"/>
  <c r="I71" i="1"/>
  <c r="J71" i="1"/>
  <c r="I67" i="1"/>
  <c r="J67" i="1"/>
  <c r="I63" i="1"/>
  <c r="J63" i="1"/>
  <c r="I59" i="1"/>
  <c r="J59" i="1"/>
  <c r="I55" i="1"/>
  <c r="J55" i="1"/>
  <c r="I51" i="1"/>
  <c r="J51" i="1"/>
  <c r="I47" i="1"/>
  <c r="J47" i="1"/>
  <c r="I43" i="1"/>
  <c r="J43" i="1"/>
  <c r="I39" i="1"/>
  <c r="J39" i="1"/>
  <c r="I35" i="1"/>
  <c r="J35" i="1"/>
  <c r="I31" i="1"/>
  <c r="J31" i="1"/>
  <c r="I27" i="1"/>
  <c r="J27" i="1"/>
  <c r="I23" i="1"/>
  <c r="J23" i="1"/>
  <c r="I19" i="1"/>
  <c r="J19" i="1"/>
  <c r="I15" i="1"/>
  <c r="J15" i="1"/>
  <c r="I11" i="1"/>
  <c r="J11" i="1"/>
  <c r="I7" i="1"/>
  <c r="J7" i="1"/>
  <c r="I3" i="1"/>
  <c r="J3" i="1"/>
  <c r="I246" i="1"/>
  <c r="I230" i="1"/>
  <c r="I214" i="1"/>
  <c r="I198" i="1"/>
  <c r="I182" i="1"/>
  <c r="I166" i="1"/>
  <c r="I150" i="1"/>
  <c r="I134" i="1"/>
  <c r="I118" i="1"/>
  <c r="I102" i="1"/>
  <c r="I86" i="1"/>
  <c r="I70" i="1"/>
  <c r="I54" i="1"/>
  <c r="I38" i="1"/>
  <c r="I22" i="1"/>
  <c r="I6" i="1"/>
  <c r="I242" i="1"/>
  <c r="I226" i="1"/>
  <c r="I210" i="1"/>
  <c r="I194" i="1"/>
  <c r="I178" i="1"/>
  <c r="I162" i="1"/>
  <c r="I146" i="1"/>
  <c r="I130" i="1"/>
  <c r="I114" i="1"/>
  <c r="I98" i="1"/>
  <c r="I82" i="1"/>
  <c r="I66" i="1"/>
  <c r="I50" i="1"/>
  <c r="I34" i="1"/>
  <c r="I18" i="1"/>
  <c r="I252" i="1" l="1"/>
  <c r="C12" i="5" s="1"/>
  <c r="J252" i="1"/>
  <c r="D12" i="5" s="1"/>
  <c r="D18" i="5" s="1"/>
  <c r="F12" i="5" l="1"/>
  <c r="F18" i="5" s="1"/>
  <c r="C18" i="5"/>
  <c r="L3" i="1"/>
  <c r="L4" i="1"/>
  <c r="M4" i="1" s="1"/>
  <c r="N4" i="1" s="1"/>
  <c r="O4" i="1" s="1"/>
  <c r="L5" i="1"/>
  <c r="L6" i="1"/>
  <c r="L7" i="1"/>
  <c r="L8" i="1"/>
  <c r="L9" i="1"/>
  <c r="L10" i="1"/>
  <c r="L11" i="1"/>
  <c r="L12" i="1"/>
  <c r="M12" i="1" s="1"/>
  <c r="N12" i="1" s="1"/>
  <c r="O12" i="1" s="1"/>
  <c r="L13" i="1"/>
  <c r="L14" i="1"/>
  <c r="L15" i="1"/>
  <c r="L16" i="1"/>
  <c r="M16" i="1" s="1"/>
  <c r="N16" i="1" s="1"/>
  <c r="O16" i="1" s="1"/>
  <c r="L17" i="1"/>
  <c r="L18" i="1"/>
  <c r="L19" i="1"/>
  <c r="L20" i="1"/>
  <c r="M20" i="1" s="1"/>
  <c r="N20" i="1" s="1"/>
  <c r="O20" i="1" s="1"/>
  <c r="L21" i="1"/>
  <c r="L22" i="1"/>
  <c r="L23" i="1"/>
  <c r="L24" i="1"/>
  <c r="L25" i="1"/>
  <c r="L26" i="1"/>
  <c r="L27" i="1"/>
  <c r="L28" i="1"/>
  <c r="M28" i="1" s="1"/>
  <c r="N28" i="1" s="1"/>
  <c r="O28" i="1" s="1"/>
  <c r="L29" i="1"/>
  <c r="L30" i="1"/>
  <c r="L31" i="1"/>
  <c r="L32" i="1"/>
  <c r="M32" i="1" s="1"/>
  <c r="N32" i="1" s="1"/>
  <c r="O32" i="1" s="1"/>
  <c r="L33" i="1"/>
  <c r="L34" i="1"/>
  <c r="L35" i="1"/>
  <c r="L36" i="1"/>
  <c r="M36" i="1" s="1"/>
  <c r="N36" i="1" s="1"/>
  <c r="O36" i="1" s="1"/>
  <c r="L37" i="1"/>
  <c r="L38" i="1"/>
  <c r="L39" i="1"/>
  <c r="L40" i="1"/>
  <c r="L41" i="1"/>
  <c r="L42" i="1"/>
  <c r="L43" i="1"/>
  <c r="L44" i="1"/>
  <c r="M44" i="1" s="1"/>
  <c r="N44" i="1" s="1"/>
  <c r="O44" i="1" s="1"/>
  <c r="L45" i="1"/>
  <c r="L46" i="1"/>
  <c r="L47" i="1"/>
  <c r="L48" i="1"/>
  <c r="M48" i="1" s="1"/>
  <c r="N48" i="1" s="1"/>
  <c r="O48" i="1" s="1"/>
  <c r="L49" i="1"/>
  <c r="L50" i="1"/>
  <c r="L51" i="1"/>
  <c r="L52" i="1"/>
  <c r="M52" i="1" s="1"/>
  <c r="N52" i="1" s="1"/>
  <c r="O52" i="1" s="1"/>
  <c r="L53" i="1"/>
  <c r="L54" i="1"/>
  <c r="L55" i="1"/>
  <c r="L56" i="1"/>
  <c r="L57" i="1"/>
  <c r="L58" i="1"/>
  <c r="L59" i="1"/>
  <c r="L60" i="1"/>
  <c r="M60" i="1" s="1"/>
  <c r="N60" i="1" s="1"/>
  <c r="O60" i="1" s="1"/>
  <c r="L61" i="1"/>
  <c r="L62" i="1"/>
  <c r="L63" i="1"/>
  <c r="L64" i="1"/>
  <c r="M64" i="1" s="1"/>
  <c r="N64" i="1" s="1"/>
  <c r="O64" i="1" s="1"/>
  <c r="L65" i="1"/>
  <c r="L66" i="1"/>
  <c r="L67" i="1"/>
  <c r="L68" i="1"/>
  <c r="M68" i="1" s="1"/>
  <c r="N68" i="1" s="1"/>
  <c r="O68" i="1" s="1"/>
  <c r="L69" i="1"/>
  <c r="L70" i="1"/>
  <c r="L71" i="1"/>
  <c r="L72" i="1"/>
  <c r="L73" i="1"/>
  <c r="L74" i="1"/>
  <c r="L75" i="1"/>
  <c r="L76" i="1"/>
  <c r="M76" i="1" s="1"/>
  <c r="N76" i="1" s="1"/>
  <c r="O76" i="1" s="1"/>
  <c r="L77" i="1"/>
  <c r="L78" i="1"/>
  <c r="L79" i="1"/>
  <c r="L80" i="1"/>
  <c r="M80" i="1" s="1"/>
  <c r="N80" i="1" s="1"/>
  <c r="O80" i="1" s="1"/>
  <c r="L81" i="1"/>
  <c r="L82" i="1"/>
  <c r="L83" i="1"/>
  <c r="L84" i="1"/>
  <c r="M84" i="1" s="1"/>
  <c r="N84" i="1" s="1"/>
  <c r="O84" i="1" s="1"/>
  <c r="L85" i="1"/>
  <c r="L86" i="1"/>
  <c r="L87" i="1"/>
  <c r="L88" i="1"/>
  <c r="L89" i="1"/>
  <c r="L90" i="1"/>
  <c r="L91" i="1"/>
  <c r="L92" i="1"/>
  <c r="M92" i="1" s="1"/>
  <c r="N92" i="1" s="1"/>
  <c r="O92" i="1" s="1"/>
  <c r="L93" i="1"/>
  <c r="L94" i="1"/>
  <c r="L95" i="1"/>
  <c r="L96" i="1"/>
  <c r="M96" i="1" s="1"/>
  <c r="N96" i="1" s="1"/>
  <c r="O96" i="1" s="1"/>
  <c r="L97" i="1"/>
  <c r="L98" i="1"/>
  <c r="L99" i="1"/>
  <c r="L100" i="1"/>
  <c r="M100" i="1" s="1"/>
  <c r="N100" i="1" s="1"/>
  <c r="O100" i="1" s="1"/>
  <c r="L101" i="1"/>
  <c r="L102" i="1"/>
  <c r="L103" i="1"/>
  <c r="L104" i="1"/>
  <c r="L105" i="1"/>
  <c r="L106" i="1"/>
  <c r="L107" i="1"/>
  <c r="L108" i="1"/>
  <c r="M108" i="1" s="1"/>
  <c r="N108" i="1" s="1"/>
  <c r="O108" i="1" s="1"/>
  <c r="L109" i="1"/>
  <c r="L110" i="1"/>
  <c r="L111" i="1"/>
  <c r="L112" i="1"/>
  <c r="M112" i="1" s="1"/>
  <c r="N112" i="1" s="1"/>
  <c r="O112" i="1" s="1"/>
  <c r="L113" i="1"/>
  <c r="L114" i="1"/>
  <c r="L115" i="1"/>
  <c r="L116" i="1"/>
  <c r="M116" i="1" s="1"/>
  <c r="N116" i="1" s="1"/>
  <c r="O116" i="1" s="1"/>
  <c r="L117" i="1"/>
  <c r="L118" i="1"/>
  <c r="L119" i="1"/>
  <c r="L120" i="1"/>
  <c r="L121" i="1"/>
  <c r="L122" i="1"/>
  <c r="L123" i="1"/>
  <c r="L124" i="1"/>
  <c r="M124" i="1" s="1"/>
  <c r="N124" i="1" s="1"/>
  <c r="O124" i="1" s="1"/>
  <c r="L125" i="1"/>
  <c r="L126" i="1"/>
  <c r="L127" i="1"/>
  <c r="L128" i="1"/>
  <c r="M128" i="1" s="1"/>
  <c r="N128" i="1" s="1"/>
  <c r="O128" i="1" s="1"/>
  <c r="L129" i="1"/>
  <c r="L130" i="1"/>
  <c r="L131" i="1"/>
  <c r="L132" i="1"/>
  <c r="M132" i="1" s="1"/>
  <c r="N132" i="1" s="1"/>
  <c r="O132" i="1" s="1"/>
  <c r="L133" i="1"/>
  <c r="L134" i="1"/>
  <c r="L135" i="1"/>
  <c r="L136" i="1"/>
  <c r="L137" i="1"/>
  <c r="L138" i="1"/>
  <c r="L139" i="1"/>
  <c r="L140" i="1"/>
  <c r="M140" i="1" s="1"/>
  <c r="N140" i="1" s="1"/>
  <c r="O140" i="1" s="1"/>
  <c r="L141" i="1"/>
  <c r="L142" i="1"/>
  <c r="L143" i="1"/>
  <c r="L144" i="1"/>
  <c r="M144" i="1" s="1"/>
  <c r="N144" i="1" s="1"/>
  <c r="O144" i="1" s="1"/>
  <c r="L145" i="1"/>
  <c r="L146" i="1"/>
  <c r="L147" i="1"/>
  <c r="L148" i="1"/>
  <c r="M148" i="1" s="1"/>
  <c r="N148" i="1" s="1"/>
  <c r="O148" i="1" s="1"/>
  <c r="L149" i="1"/>
  <c r="L150" i="1"/>
  <c r="L151" i="1"/>
  <c r="L152" i="1"/>
  <c r="L153" i="1"/>
  <c r="L154" i="1"/>
  <c r="L155" i="1"/>
  <c r="L156" i="1"/>
  <c r="M156" i="1" s="1"/>
  <c r="N156" i="1" s="1"/>
  <c r="O156" i="1" s="1"/>
  <c r="L157" i="1"/>
  <c r="L158" i="1"/>
  <c r="L159" i="1"/>
  <c r="L160" i="1"/>
  <c r="M160" i="1" s="1"/>
  <c r="N160" i="1" s="1"/>
  <c r="O160" i="1" s="1"/>
  <c r="L161" i="1"/>
  <c r="L162" i="1"/>
  <c r="L163" i="1"/>
  <c r="L164" i="1"/>
  <c r="M164" i="1" s="1"/>
  <c r="N164" i="1" s="1"/>
  <c r="O164" i="1" s="1"/>
  <c r="L165" i="1"/>
  <c r="L166" i="1"/>
  <c r="L167" i="1"/>
  <c r="L168" i="1"/>
  <c r="L169" i="1"/>
  <c r="L170" i="1"/>
  <c r="L171" i="1"/>
  <c r="L172" i="1"/>
  <c r="M172" i="1" s="1"/>
  <c r="N172" i="1" s="1"/>
  <c r="O172" i="1" s="1"/>
  <c r="L173" i="1"/>
  <c r="L174" i="1"/>
  <c r="L175" i="1"/>
  <c r="L176" i="1"/>
  <c r="M176" i="1" s="1"/>
  <c r="N176" i="1" s="1"/>
  <c r="O176" i="1" s="1"/>
  <c r="L177" i="1"/>
  <c r="L178" i="1"/>
  <c r="L179" i="1"/>
  <c r="L180" i="1"/>
  <c r="M180" i="1" s="1"/>
  <c r="N180" i="1" s="1"/>
  <c r="O180" i="1" s="1"/>
  <c r="L181" i="1"/>
  <c r="L182" i="1"/>
  <c r="L183" i="1"/>
  <c r="L184" i="1"/>
  <c r="L185" i="1"/>
  <c r="L186" i="1"/>
  <c r="L187" i="1"/>
  <c r="L188" i="1"/>
  <c r="M188" i="1" s="1"/>
  <c r="N188" i="1" s="1"/>
  <c r="O188" i="1" s="1"/>
  <c r="L189" i="1"/>
  <c r="L190" i="1"/>
  <c r="L191" i="1"/>
  <c r="L192" i="1"/>
  <c r="M192" i="1" s="1"/>
  <c r="N192" i="1" s="1"/>
  <c r="O192" i="1" s="1"/>
  <c r="L193" i="1"/>
  <c r="L194" i="1"/>
  <c r="L195" i="1"/>
  <c r="L196" i="1"/>
  <c r="M196" i="1" s="1"/>
  <c r="N196" i="1" s="1"/>
  <c r="O196" i="1" s="1"/>
  <c r="L197" i="1"/>
  <c r="L198" i="1"/>
  <c r="L199" i="1"/>
  <c r="L200" i="1"/>
  <c r="L201" i="1"/>
  <c r="L202" i="1"/>
  <c r="L203" i="1"/>
  <c r="L204" i="1"/>
  <c r="M204" i="1" s="1"/>
  <c r="N204" i="1" s="1"/>
  <c r="O204" i="1" s="1"/>
  <c r="L205" i="1"/>
  <c r="L206" i="1"/>
  <c r="L207" i="1"/>
  <c r="L208" i="1"/>
  <c r="M208" i="1" s="1"/>
  <c r="N208" i="1" s="1"/>
  <c r="O208" i="1" s="1"/>
  <c r="L209" i="1"/>
  <c r="L210" i="1"/>
  <c r="L211" i="1"/>
  <c r="L212" i="1"/>
  <c r="M212" i="1" s="1"/>
  <c r="N212" i="1" s="1"/>
  <c r="O212" i="1" s="1"/>
  <c r="L213" i="1"/>
  <c r="L214" i="1"/>
  <c r="L215" i="1"/>
  <c r="L216" i="1"/>
  <c r="L217" i="1"/>
  <c r="L218" i="1"/>
  <c r="L219" i="1"/>
  <c r="L220" i="1"/>
  <c r="M220" i="1" s="1"/>
  <c r="N220" i="1" s="1"/>
  <c r="O220" i="1" s="1"/>
  <c r="L221" i="1"/>
  <c r="L222" i="1"/>
  <c r="L223" i="1"/>
  <c r="L224" i="1"/>
  <c r="M224" i="1" s="1"/>
  <c r="N224" i="1" s="1"/>
  <c r="O224" i="1" s="1"/>
  <c r="L225" i="1"/>
  <c r="L226" i="1"/>
  <c r="L227" i="1"/>
  <c r="L228" i="1"/>
  <c r="M228" i="1" s="1"/>
  <c r="N228" i="1" s="1"/>
  <c r="O228" i="1" s="1"/>
  <c r="L229" i="1"/>
  <c r="L230" i="1"/>
  <c r="L231" i="1"/>
  <c r="L232" i="1"/>
  <c r="L233" i="1"/>
  <c r="L234" i="1"/>
  <c r="L235" i="1"/>
  <c r="L236" i="1"/>
  <c r="M236" i="1" s="1"/>
  <c r="N236" i="1" s="1"/>
  <c r="O236" i="1" s="1"/>
  <c r="L237" i="1"/>
  <c r="L238" i="1"/>
  <c r="L239" i="1"/>
  <c r="L240" i="1"/>
  <c r="M240" i="1" s="1"/>
  <c r="N240" i="1" s="1"/>
  <c r="O240" i="1" s="1"/>
  <c r="L241" i="1"/>
  <c r="L242" i="1"/>
  <c r="L243" i="1"/>
  <c r="L244" i="1"/>
  <c r="M244" i="1" s="1"/>
  <c r="N244" i="1" s="1"/>
  <c r="O244" i="1" s="1"/>
  <c r="L245" i="1"/>
  <c r="L246" i="1"/>
  <c r="L247" i="1"/>
  <c r="L248" i="1"/>
  <c r="L249" i="1"/>
  <c r="L250" i="1"/>
  <c r="L2" i="1"/>
  <c r="M248" i="1" l="1"/>
  <c r="N248" i="1" s="1"/>
  <c r="O248" i="1" s="1"/>
  <c r="M232" i="1"/>
  <c r="N232" i="1" s="1"/>
  <c r="O232" i="1" s="1"/>
  <c r="M216" i="1"/>
  <c r="N216" i="1" s="1"/>
  <c r="O216" i="1" s="1"/>
  <c r="M200" i="1"/>
  <c r="N200" i="1" s="1"/>
  <c r="O200" i="1" s="1"/>
  <c r="M184" i="1"/>
  <c r="N184" i="1" s="1"/>
  <c r="O184" i="1" s="1"/>
  <c r="M168" i="1"/>
  <c r="N168" i="1" s="1"/>
  <c r="O168" i="1" s="1"/>
  <c r="M152" i="1"/>
  <c r="N152" i="1" s="1"/>
  <c r="O152" i="1" s="1"/>
  <c r="M136" i="1"/>
  <c r="N136" i="1" s="1"/>
  <c r="O136" i="1" s="1"/>
  <c r="M120" i="1"/>
  <c r="N120" i="1" s="1"/>
  <c r="O120" i="1" s="1"/>
  <c r="M104" i="1"/>
  <c r="N104" i="1" s="1"/>
  <c r="O104" i="1" s="1"/>
  <c r="M88" i="1"/>
  <c r="N88" i="1" s="1"/>
  <c r="O88" i="1" s="1"/>
  <c r="M72" i="1"/>
  <c r="N72" i="1" s="1"/>
  <c r="O72" i="1" s="1"/>
  <c r="M56" i="1"/>
  <c r="N56" i="1" s="1"/>
  <c r="O56" i="1" s="1"/>
  <c r="M40" i="1"/>
  <c r="N40" i="1" s="1"/>
  <c r="O40" i="1" s="1"/>
  <c r="M24" i="1"/>
  <c r="N24" i="1" s="1"/>
  <c r="O24" i="1" s="1"/>
  <c r="M8" i="1"/>
  <c r="N8" i="1" s="1"/>
  <c r="O8" i="1" s="1"/>
  <c r="M250" i="1"/>
  <c r="N250" i="1" s="1"/>
  <c r="O250" i="1" s="1"/>
  <c r="M246" i="1"/>
  <c r="N246" i="1" s="1"/>
  <c r="O246" i="1" s="1"/>
  <c r="M242" i="1"/>
  <c r="N242" i="1" s="1"/>
  <c r="O242" i="1" s="1"/>
  <c r="M238" i="1"/>
  <c r="N238" i="1" s="1"/>
  <c r="O238" i="1" s="1"/>
  <c r="M234" i="1"/>
  <c r="N234" i="1" s="1"/>
  <c r="O234" i="1" s="1"/>
  <c r="M230" i="1"/>
  <c r="N230" i="1" s="1"/>
  <c r="O230" i="1" s="1"/>
  <c r="M226" i="1"/>
  <c r="N226" i="1" s="1"/>
  <c r="O226" i="1" s="1"/>
  <c r="M222" i="1"/>
  <c r="N222" i="1" s="1"/>
  <c r="O222" i="1" s="1"/>
  <c r="M218" i="1"/>
  <c r="N218" i="1" s="1"/>
  <c r="O218" i="1" s="1"/>
  <c r="M214" i="1"/>
  <c r="N214" i="1" s="1"/>
  <c r="O214" i="1" s="1"/>
  <c r="M210" i="1"/>
  <c r="N210" i="1" s="1"/>
  <c r="O210" i="1" s="1"/>
  <c r="M206" i="1"/>
  <c r="N206" i="1" s="1"/>
  <c r="O206" i="1" s="1"/>
  <c r="M202" i="1"/>
  <c r="N202" i="1" s="1"/>
  <c r="O202" i="1" s="1"/>
  <c r="M198" i="1"/>
  <c r="N198" i="1" s="1"/>
  <c r="O198" i="1" s="1"/>
  <c r="M194" i="1"/>
  <c r="N194" i="1" s="1"/>
  <c r="O194" i="1" s="1"/>
  <c r="M190" i="1"/>
  <c r="N190" i="1" s="1"/>
  <c r="O190" i="1" s="1"/>
  <c r="M186" i="1"/>
  <c r="N186" i="1" s="1"/>
  <c r="O186" i="1" s="1"/>
  <c r="M182" i="1"/>
  <c r="N182" i="1" s="1"/>
  <c r="O182" i="1" s="1"/>
  <c r="M178" i="1"/>
  <c r="N178" i="1" s="1"/>
  <c r="O178" i="1" s="1"/>
  <c r="M174" i="1"/>
  <c r="N174" i="1" s="1"/>
  <c r="O174" i="1" s="1"/>
  <c r="M170" i="1"/>
  <c r="N170" i="1" s="1"/>
  <c r="O170" i="1" s="1"/>
  <c r="M166" i="1"/>
  <c r="N166" i="1" s="1"/>
  <c r="O166" i="1" s="1"/>
  <c r="M162" i="1"/>
  <c r="N162" i="1" s="1"/>
  <c r="O162" i="1" s="1"/>
  <c r="M158" i="1"/>
  <c r="N158" i="1" s="1"/>
  <c r="O158" i="1" s="1"/>
  <c r="M154" i="1"/>
  <c r="N154" i="1" s="1"/>
  <c r="O154" i="1" s="1"/>
  <c r="M150" i="1"/>
  <c r="N150" i="1" s="1"/>
  <c r="O150" i="1" s="1"/>
  <c r="M146" i="1"/>
  <c r="N146" i="1" s="1"/>
  <c r="O146" i="1" s="1"/>
  <c r="M142" i="1"/>
  <c r="N142" i="1" s="1"/>
  <c r="O142" i="1" s="1"/>
  <c r="M138" i="1"/>
  <c r="N138" i="1" s="1"/>
  <c r="O138" i="1" s="1"/>
  <c r="M134" i="1"/>
  <c r="N134" i="1" s="1"/>
  <c r="O134" i="1" s="1"/>
  <c r="M130" i="1"/>
  <c r="N130" i="1" s="1"/>
  <c r="O130" i="1" s="1"/>
  <c r="M126" i="1"/>
  <c r="N126" i="1" s="1"/>
  <c r="O126" i="1" s="1"/>
  <c r="M122" i="1"/>
  <c r="N122" i="1" s="1"/>
  <c r="O122" i="1" s="1"/>
  <c r="M118" i="1"/>
  <c r="N118" i="1" s="1"/>
  <c r="O118" i="1" s="1"/>
  <c r="M114" i="1"/>
  <c r="N114" i="1" s="1"/>
  <c r="O114" i="1" s="1"/>
  <c r="M110" i="1"/>
  <c r="N110" i="1" s="1"/>
  <c r="O110" i="1" s="1"/>
  <c r="M106" i="1"/>
  <c r="N106" i="1" s="1"/>
  <c r="O106" i="1" s="1"/>
  <c r="M102" i="1"/>
  <c r="N102" i="1" s="1"/>
  <c r="O102" i="1" s="1"/>
  <c r="M98" i="1"/>
  <c r="N98" i="1" s="1"/>
  <c r="O98" i="1" s="1"/>
  <c r="M94" i="1"/>
  <c r="N94" i="1" s="1"/>
  <c r="O94" i="1" s="1"/>
  <c r="M90" i="1"/>
  <c r="N90" i="1" s="1"/>
  <c r="O90" i="1" s="1"/>
  <c r="M86" i="1"/>
  <c r="N86" i="1" s="1"/>
  <c r="O86" i="1" s="1"/>
  <c r="M82" i="1"/>
  <c r="N82" i="1" s="1"/>
  <c r="O82" i="1" s="1"/>
  <c r="M78" i="1"/>
  <c r="N78" i="1" s="1"/>
  <c r="O78" i="1" s="1"/>
  <c r="M74" i="1"/>
  <c r="N74" i="1" s="1"/>
  <c r="O74" i="1" s="1"/>
  <c r="M70" i="1"/>
  <c r="N70" i="1" s="1"/>
  <c r="O70" i="1" s="1"/>
  <c r="M66" i="1"/>
  <c r="N66" i="1" s="1"/>
  <c r="O66" i="1" s="1"/>
  <c r="M62" i="1"/>
  <c r="N62" i="1" s="1"/>
  <c r="O62" i="1" s="1"/>
  <c r="M58" i="1"/>
  <c r="N58" i="1" s="1"/>
  <c r="O58" i="1" s="1"/>
  <c r="M54" i="1"/>
  <c r="N54" i="1" s="1"/>
  <c r="O54" i="1" s="1"/>
  <c r="M50" i="1"/>
  <c r="N50" i="1" s="1"/>
  <c r="O50" i="1" s="1"/>
  <c r="M46" i="1"/>
  <c r="N46" i="1" s="1"/>
  <c r="O46" i="1" s="1"/>
  <c r="M42" i="1"/>
  <c r="N42" i="1" s="1"/>
  <c r="O42" i="1" s="1"/>
  <c r="M38" i="1"/>
  <c r="N38" i="1" s="1"/>
  <c r="O38" i="1" s="1"/>
  <c r="M34" i="1"/>
  <c r="N34" i="1" s="1"/>
  <c r="O34" i="1" s="1"/>
  <c r="M30" i="1"/>
  <c r="N30" i="1" s="1"/>
  <c r="O30" i="1" s="1"/>
  <c r="M26" i="1"/>
  <c r="N26" i="1" s="1"/>
  <c r="O26" i="1" s="1"/>
  <c r="M22" i="1"/>
  <c r="N22" i="1" s="1"/>
  <c r="O22" i="1" s="1"/>
  <c r="M18" i="1"/>
  <c r="N18" i="1" s="1"/>
  <c r="O18" i="1" s="1"/>
  <c r="M14" i="1"/>
  <c r="N14" i="1" s="1"/>
  <c r="O14" i="1" s="1"/>
  <c r="M10" i="1"/>
  <c r="N10" i="1" s="1"/>
  <c r="O10" i="1" s="1"/>
  <c r="M6" i="1"/>
  <c r="N6" i="1" s="1"/>
  <c r="O6" i="1" s="1"/>
  <c r="M249" i="1"/>
  <c r="N249" i="1" s="1"/>
  <c r="O249" i="1" s="1"/>
  <c r="M245" i="1"/>
  <c r="N245" i="1" s="1"/>
  <c r="O245" i="1" s="1"/>
  <c r="M241" i="1"/>
  <c r="N241" i="1" s="1"/>
  <c r="O241" i="1" s="1"/>
  <c r="M237" i="1"/>
  <c r="N237" i="1" s="1"/>
  <c r="O237" i="1" s="1"/>
  <c r="M233" i="1"/>
  <c r="N233" i="1" s="1"/>
  <c r="O233" i="1" s="1"/>
  <c r="M229" i="1"/>
  <c r="N229" i="1" s="1"/>
  <c r="O229" i="1" s="1"/>
  <c r="M225" i="1"/>
  <c r="N225" i="1" s="1"/>
  <c r="O225" i="1" s="1"/>
  <c r="M221" i="1"/>
  <c r="N221" i="1" s="1"/>
  <c r="O221" i="1" s="1"/>
  <c r="M217" i="1"/>
  <c r="N217" i="1" s="1"/>
  <c r="O217" i="1" s="1"/>
  <c r="M213" i="1"/>
  <c r="N213" i="1" s="1"/>
  <c r="O213" i="1" s="1"/>
  <c r="M209" i="1"/>
  <c r="N209" i="1" s="1"/>
  <c r="O209" i="1" s="1"/>
  <c r="M205" i="1"/>
  <c r="N205" i="1" s="1"/>
  <c r="O205" i="1" s="1"/>
  <c r="M201" i="1"/>
  <c r="N201" i="1" s="1"/>
  <c r="O201" i="1" s="1"/>
  <c r="M197" i="1"/>
  <c r="N197" i="1" s="1"/>
  <c r="O197" i="1" s="1"/>
  <c r="M193" i="1"/>
  <c r="N193" i="1" s="1"/>
  <c r="O193" i="1" s="1"/>
  <c r="M189" i="1"/>
  <c r="N189" i="1" s="1"/>
  <c r="O189" i="1" s="1"/>
  <c r="M185" i="1"/>
  <c r="N185" i="1" s="1"/>
  <c r="O185" i="1" s="1"/>
  <c r="M181" i="1"/>
  <c r="N181" i="1" s="1"/>
  <c r="O181" i="1" s="1"/>
  <c r="M177" i="1"/>
  <c r="N177" i="1" s="1"/>
  <c r="O177" i="1" s="1"/>
  <c r="M173" i="1"/>
  <c r="N173" i="1" s="1"/>
  <c r="O173" i="1" s="1"/>
  <c r="M169" i="1"/>
  <c r="N169" i="1" s="1"/>
  <c r="O169" i="1" s="1"/>
  <c r="M165" i="1"/>
  <c r="N165" i="1" s="1"/>
  <c r="O165" i="1" s="1"/>
  <c r="M161" i="1"/>
  <c r="N161" i="1" s="1"/>
  <c r="O161" i="1" s="1"/>
  <c r="M157" i="1"/>
  <c r="N157" i="1" s="1"/>
  <c r="O157" i="1" s="1"/>
  <c r="M153" i="1"/>
  <c r="N153" i="1" s="1"/>
  <c r="O153" i="1" s="1"/>
  <c r="M149" i="1"/>
  <c r="N149" i="1" s="1"/>
  <c r="O149" i="1" s="1"/>
  <c r="M145" i="1"/>
  <c r="N145" i="1" s="1"/>
  <c r="O145" i="1" s="1"/>
  <c r="M141" i="1"/>
  <c r="N141" i="1" s="1"/>
  <c r="O141" i="1" s="1"/>
  <c r="M137" i="1"/>
  <c r="N137" i="1" s="1"/>
  <c r="O137" i="1" s="1"/>
  <c r="M133" i="1"/>
  <c r="N133" i="1" s="1"/>
  <c r="O133" i="1" s="1"/>
  <c r="M129" i="1"/>
  <c r="N129" i="1" s="1"/>
  <c r="O129" i="1" s="1"/>
  <c r="M125" i="1"/>
  <c r="N125" i="1" s="1"/>
  <c r="O125" i="1" s="1"/>
  <c r="M121" i="1"/>
  <c r="N121" i="1" s="1"/>
  <c r="O121" i="1" s="1"/>
  <c r="M117" i="1"/>
  <c r="N117" i="1" s="1"/>
  <c r="O117" i="1" s="1"/>
  <c r="M113" i="1"/>
  <c r="N113" i="1" s="1"/>
  <c r="O113" i="1" s="1"/>
  <c r="M109" i="1"/>
  <c r="N109" i="1" s="1"/>
  <c r="O109" i="1" s="1"/>
  <c r="M105" i="1"/>
  <c r="N105" i="1" s="1"/>
  <c r="O105" i="1" s="1"/>
  <c r="M101" i="1"/>
  <c r="N101" i="1" s="1"/>
  <c r="O101" i="1" s="1"/>
  <c r="M97" i="1"/>
  <c r="N97" i="1" s="1"/>
  <c r="O97" i="1" s="1"/>
  <c r="M93" i="1"/>
  <c r="N93" i="1" s="1"/>
  <c r="O93" i="1" s="1"/>
  <c r="M89" i="1"/>
  <c r="N89" i="1" s="1"/>
  <c r="O89" i="1" s="1"/>
  <c r="M85" i="1"/>
  <c r="N85" i="1" s="1"/>
  <c r="O85" i="1" s="1"/>
  <c r="M81" i="1"/>
  <c r="N81" i="1" s="1"/>
  <c r="O81" i="1" s="1"/>
  <c r="M77" i="1"/>
  <c r="N77" i="1" s="1"/>
  <c r="O77" i="1" s="1"/>
  <c r="M73" i="1"/>
  <c r="N73" i="1" s="1"/>
  <c r="O73" i="1" s="1"/>
  <c r="M69" i="1"/>
  <c r="N69" i="1" s="1"/>
  <c r="O69" i="1" s="1"/>
  <c r="M65" i="1"/>
  <c r="N65" i="1" s="1"/>
  <c r="O65" i="1" s="1"/>
  <c r="M61" i="1"/>
  <c r="N61" i="1" s="1"/>
  <c r="O61" i="1" s="1"/>
  <c r="M57" i="1"/>
  <c r="N57" i="1" s="1"/>
  <c r="O57" i="1" s="1"/>
  <c r="M53" i="1"/>
  <c r="N53" i="1" s="1"/>
  <c r="O53" i="1" s="1"/>
  <c r="M49" i="1"/>
  <c r="N49" i="1" s="1"/>
  <c r="O49" i="1" s="1"/>
  <c r="M45" i="1"/>
  <c r="N45" i="1" s="1"/>
  <c r="O45" i="1" s="1"/>
  <c r="M41" i="1"/>
  <c r="N41" i="1" s="1"/>
  <c r="O41" i="1" s="1"/>
  <c r="M37" i="1"/>
  <c r="N37" i="1" s="1"/>
  <c r="O37" i="1" s="1"/>
  <c r="M33" i="1"/>
  <c r="N33" i="1" s="1"/>
  <c r="O33" i="1" s="1"/>
  <c r="M29" i="1"/>
  <c r="N29" i="1" s="1"/>
  <c r="O29" i="1" s="1"/>
  <c r="M25" i="1"/>
  <c r="N25" i="1" s="1"/>
  <c r="O25" i="1" s="1"/>
  <c r="M21" i="1"/>
  <c r="N21" i="1" s="1"/>
  <c r="O21" i="1" s="1"/>
  <c r="M17" i="1"/>
  <c r="N17" i="1" s="1"/>
  <c r="O17" i="1" s="1"/>
  <c r="M13" i="1"/>
  <c r="N13" i="1" s="1"/>
  <c r="O13" i="1" s="1"/>
  <c r="M9" i="1"/>
  <c r="N9" i="1" s="1"/>
  <c r="O9" i="1" s="1"/>
  <c r="M5" i="1"/>
  <c r="N5" i="1" s="1"/>
  <c r="O5" i="1" s="1"/>
  <c r="M2" i="1"/>
  <c r="N2" i="1" s="1"/>
  <c r="O2" i="1" s="1"/>
  <c r="M247" i="1"/>
  <c r="N247" i="1" s="1"/>
  <c r="O247" i="1" s="1"/>
  <c r="M243" i="1"/>
  <c r="N243" i="1" s="1"/>
  <c r="O243" i="1" s="1"/>
  <c r="M239" i="1"/>
  <c r="N239" i="1" s="1"/>
  <c r="O239" i="1" s="1"/>
  <c r="M235" i="1"/>
  <c r="N235" i="1" s="1"/>
  <c r="O235" i="1" s="1"/>
  <c r="M231" i="1"/>
  <c r="N231" i="1" s="1"/>
  <c r="O231" i="1" s="1"/>
  <c r="M227" i="1"/>
  <c r="N227" i="1" s="1"/>
  <c r="O227" i="1" s="1"/>
  <c r="M223" i="1"/>
  <c r="N223" i="1" s="1"/>
  <c r="O223" i="1" s="1"/>
  <c r="M219" i="1"/>
  <c r="N219" i="1" s="1"/>
  <c r="O219" i="1" s="1"/>
  <c r="M215" i="1"/>
  <c r="N215" i="1" s="1"/>
  <c r="O215" i="1" s="1"/>
  <c r="M211" i="1"/>
  <c r="N211" i="1" s="1"/>
  <c r="O211" i="1" s="1"/>
  <c r="M207" i="1"/>
  <c r="N207" i="1" s="1"/>
  <c r="O207" i="1" s="1"/>
  <c r="M203" i="1"/>
  <c r="N203" i="1" s="1"/>
  <c r="O203" i="1" s="1"/>
  <c r="M199" i="1"/>
  <c r="N199" i="1" s="1"/>
  <c r="O199" i="1" s="1"/>
  <c r="M195" i="1"/>
  <c r="N195" i="1" s="1"/>
  <c r="O195" i="1" s="1"/>
  <c r="M191" i="1"/>
  <c r="N191" i="1" s="1"/>
  <c r="O191" i="1" s="1"/>
  <c r="M187" i="1"/>
  <c r="N187" i="1" s="1"/>
  <c r="O187" i="1" s="1"/>
  <c r="M183" i="1"/>
  <c r="N183" i="1" s="1"/>
  <c r="O183" i="1" s="1"/>
  <c r="M179" i="1"/>
  <c r="N179" i="1" s="1"/>
  <c r="O179" i="1" s="1"/>
  <c r="M175" i="1"/>
  <c r="N175" i="1" s="1"/>
  <c r="O175" i="1" s="1"/>
  <c r="M171" i="1"/>
  <c r="N171" i="1" s="1"/>
  <c r="O171" i="1" s="1"/>
  <c r="M167" i="1"/>
  <c r="N167" i="1" s="1"/>
  <c r="O167" i="1" s="1"/>
  <c r="M163" i="1"/>
  <c r="N163" i="1" s="1"/>
  <c r="O163" i="1" s="1"/>
  <c r="M159" i="1"/>
  <c r="N159" i="1" s="1"/>
  <c r="O159" i="1" s="1"/>
  <c r="M155" i="1"/>
  <c r="N155" i="1" s="1"/>
  <c r="O155" i="1" s="1"/>
  <c r="M151" i="1"/>
  <c r="N151" i="1" s="1"/>
  <c r="O151" i="1" s="1"/>
  <c r="M147" i="1"/>
  <c r="N147" i="1" s="1"/>
  <c r="O147" i="1" s="1"/>
  <c r="M143" i="1"/>
  <c r="N143" i="1" s="1"/>
  <c r="O143" i="1" s="1"/>
  <c r="M139" i="1"/>
  <c r="N139" i="1" s="1"/>
  <c r="O139" i="1" s="1"/>
  <c r="M135" i="1"/>
  <c r="N135" i="1" s="1"/>
  <c r="O135" i="1" s="1"/>
  <c r="M131" i="1"/>
  <c r="N131" i="1" s="1"/>
  <c r="O131" i="1" s="1"/>
  <c r="M127" i="1"/>
  <c r="N127" i="1" s="1"/>
  <c r="O127" i="1" s="1"/>
  <c r="M123" i="1"/>
  <c r="N123" i="1" s="1"/>
  <c r="O123" i="1" s="1"/>
  <c r="M119" i="1"/>
  <c r="N119" i="1" s="1"/>
  <c r="O119" i="1" s="1"/>
  <c r="M115" i="1"/>
  <c r="N115" i="1" s="1"/>
  <c r="O115" i="1" s="1"/>
  <c r="M111" i="1"/>
  <c r="N111" i="1" s="1"/>
  <c r="O111" i="1" s="1"/>
  <c r="M107" i="1"/>
  <c r="N107" i="1" s="1"/>
  <c r="O107" i="1" s="1"/>
  <c r="M103" i="1"/>
  <c r="N103" i="1" s="1"/>
  <c r="O103" i="1" s="1"/>
  <c r="M99" i="1"/>
  <c r="N99" i="1" s="1"/>
  <c r="O99" i="1" s="1"/>
  <c r="M95" i="1"/>
  <c r="N95" i="1" s="1"/>
  <c r="O95" i="1" s="1"/>
  <c r="M91" i="1"/>
  <c r="N91" i="1" s="1"/>
  <c r="O91" i="1" s="1"/>
  <c r="M87" i="1"/>
  <c r="N87" i="1" s="1"/>
  <c r="O87" i="1" s="1"/>
  <c r="M83" i="1"/>
  <c r="N83" i="1" s="1"/>
  <c r="O83" i="1" s="1"/>
  <c r="M79" i="1"/>
  <c r="N79" i="1" s="1"/>
  <c r="O79" i="1" s="1"/>
  <c r="M75" i="1"/>
  <c r="N75" i="1" s="1"/>
  <c r="O75" i="1" s="1"/>
  <c r="M71" i="1"/>
  <c r="N71" i="1" s="1"/>
  <c r="O71" i="1" s="1"/>
  <c r="M67" i="1"/>
  <c r="N67" i="1" s="1"/>
  <c r="O67" i="1" s="1"/>
  <c r="M63" i="1"/>
  <c r="N63" i="1" s="1"/>
  <c r="O63" i="1" s="1"/>
  <c r="M59" i="1"/>
  <c r="N59" i="1" s="1"/>
  <c r="O59" i="1" s="1"/>
  <c r="M55" i="1"/>
  <c r="N55" i="1" s="1"/>
  <c r="O55" i="1" s="1"/>
  <c r="M51" i="1"/>
  <c r="N51" i="1" s="1"/>
  <c r="O51" i="1" s="1"/>
  <c r="M47" i="1"/>
  <c r="N47" i="1" s="1"/>
  <c r="O47" i="1" s="1"/>
  <c r="M43" i="1"/>
  <c r="N43" i="1" s="1"/>
  <c r="O43" i="1" s="1"/>
  <c r="M39" i="1"/>
  <c r="N39" i="1" s="1"/>
  <c r="O39" i="1" s="1"/>
  <c r="M35" i="1"/>
  <c r="N35" i="1" s="1"/>
  <c r="O35" i="1" s="1"/>
  <c r="M31" i="1"/>
  <c r="N31" i="1" s="1"/>
  <c r="O31" i="1" s="1"/>
  <c r="M27" i="1"/>
  <c r="N27" i="1" s="1"/>
  <c r="O27" i="1" s="1"/>
  <c r="M23" i="1"/>
  <c r="N23" i="1" s="1"/>
  <c r="O23" i="1" s="1"/>
  <c r="M19" i="1"/>
  <c r="N19" i="1" s="1"/>
  <c r="O19" i="1" s="1"/>
  <c r="M15" i="1"/>
  <c r="N15" i="1" s="1"/>
  <c r="O15" i="1" s="1"/>
  <c r="M11" i="1"/>
  <c r="N11" i="1" s="1"/>
  <c r="O11" i="1" s="1"/>
  <c r="M7" i="1"/>
  <c r="N7" i="1" s="1"/>
  <c r="O7" i="1" s="1"/>
  <c r="M3" i="1"/>
  <c r="N3" i="1" s="1"/>
  <c r="O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tc={4607BAB6-0A36-4E26-89D9-AEB2181CA4E6}</author>
  </authors>
  <commentList>
    <comment ref="B4" authorId="0" shapeId="0" xr:uid="{4607BAB6-0A36-4E26-89D9-AEB2181CA4E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Note that this is the replacement cost of the road if it was entirely replaced, base, sub base and top. However, the full life-cycle cost of a road is higher because in 1 life cycle it will have its top replaced multiple times potentially. </t>
      </text>
    </comment>
  </commentList>
</comments>
</file>

<file path=xl/sharedStrings.xml><?xml version="1.0" encoding="utf-8"?>
<sst xmlns="http://schemas.openxmlformats.org/spreadsheetml/2006/main" count="2844" uniqueCount="2843">
  <si>
    <r>
      <rPr>
        <b/>
        <sz val="11"/>
        <color theme="1"/>
        <rFont val="Calibri"/>
        <family val="2"/>
        <scheme val="minor"/>
      </rPr>
      <t>IMPOSITION GÉNÉRALE</t>
    </r>
  </si>
  <si>
    <t>Coûts de remplacement</t>
  </si>
  <si>
    <t>Financement durable (simplifié)</t>
  </si>
  <si>
    <t>Financement durable (versement)</t>
  </si>
  <si>
    <t>Financement réel</t>
  </si>
  <si>
    <t>Écart de financement annuel</t>
  </si>
  <si>
    <t>Facteur de sensibilité (vie utile)</t>
  </si>
  <si>
    <t>Facteur de sensibilité (taux unitaires)</t>
  </si>
  <si>
    <r>
      <rPr>
        <sz val="11"/>
        <color theme="1"/>
        <rFont val="Calibri"/>
        <family val="2"/>
        <scheme val="minor"/>
      </rPr>
      <t>Collecteur d’eaux pluviales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</si>
  <si>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</si>
  <si>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Bâtiments</t>
    </r>
  </si>
  <si>
    <r>
      <rPr>
        <sz val="11"/>
        <color theme="1"/>
        <rFont val="Calibri"/>
        <family val="2"/>
        <scheme val="minor"/>
      </rPr>
      <t>Véhicules et matériel</t>
    </r>
  </si>
  <si>
    <r>
      <rPr>
        <sz val="11"/>
        <color theme="1"/>
        <rFont val="Calibri"/>
        <family val="2"/>
        <scheme val="minor"/>
      </rPr>
      <t>Infrastructure des parcs</t>
    </r>
  </si>
  <si>
    <r>
      <rPr>
        <b/>
        <sz val="11"/>
        <color theme="1"/>
        <rFont val="Calibri"/>
        <family val="2"/>
        <scheme val="minor"/>
      </rPr>
      <t>SERVICES D’EAU</t>
    </r>
  </si>
  <si>
    <r>
      <rPr>
        <sz val="11"/>
        <color theme="1"/>
        <rFont val="Calibri"/>
        <family val="2"/>
        <scheme val="minor"/>
      </rPr>
      <t>Conduite principale</t>
    </r>
  </si>
  <si>
    <r>
      <rPr>
        <b/>
        <sz val="11"/>
        <color theme="1"/>
        <rFont val="Calibri"/>
        <family val="2"/>
        <scheme val="minor"/>
      </rPr>
      <t>SERVICES D’ÉGOUTS</t>
    </r>
  </si>
  <si>
    <r>
      <rPr>
        <sz val="11"/>
        <color theme="1"/>
        <rFont val="Calibri"/>
        <family val="2"/>
        <scheme val="minor"/>
      </rPr>
      <t>Conduite principale</t>
    </r>
  </si>
  <si>
    <r>
      <rPr>
        <b/>
        <sz val="11"/>
        <rFont val="Calibri"/>
        <family val="2"/>
        <scheme val="minor"/>
      </rPr>
      <t>TOTAL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</si>
  <si>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</si>
  <si>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b/>
        <sz val="11"/>
        <color theme="1"/>
        <rFont val="Calibri"/>
        <family val="2"/>
        <scheme val="minor"/>
      </rPr>
      <t>FINANCEMENT GÉNÉRAL DES INFRASTRUCTURES</t>
    </r>
  </si>
  <si>
    <r>
      <rPr>
        <sz val="11"/>
        <color theme="1"/>
        <rFont val="Calibri"/>
        <family val="2"/>
        <scheme val="minor"/>
      </rPr>
      <t>Financement pour :</t>
    </r>
  </si>
  <si>
    <r>
      <rPr>
        <b/>
        <sz val="11"/>
        <color theme="1"/>
        <rFont val="Calibri"/>
        <family val="2"/>
        <scheme val="minor"/>
      </rPr>
      <t>RÉPARTITION DU FINANCEMENT NON AFFECTÉ</t>
    </r>
  </si>
  <si>
    <r>
      <rPr>
        <sz val="11"/>
        <color theme="1"/>
        <rFont val="Calibri"/>
        <family val="2"/>
        <scheme val="minor"/>
      </rPr>
      <t>Transfert à la réserve de renouvellement des infrastructures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</si>
  <si>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</si>
  <si>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Transfert à la réserve pour le remplacement du matériel de lutte contre les incendies</t>
    </r>
  </si>
  <si>
    <r>
      <rPr>
        <sz val="11"/>
        <color theme="1"/>
        <rFont val="Calibri"/>
        <family val="2"/>
        <scheme val="minor"/>
      </rPr>
      <t>Travaux publics – Taxe sur l’essence</t>
    </r>
  </si>
  <si>
    <r>
      <rPr>
        <sz val="11"/>
        <color theme="1"/>
        <rFont val="Calibri"/>
        <family val="2"/>
        <scheme val="minor"/>
      </rPr>
      <t>Transfert à la réserve pour le remplacement de l’équipement de la police</t>
    </r>
  </si>
  <si>
    <r>
      <rPr>
        <sz val="11"/>
        <color theme="1"/>
        <rFont val="Calibri"/>
        <family val="2"/>
        <scheme val="minor"/>
      </rPr>
      <t xml:space="preserve">Financement général direct des projets d’immobilisations 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</si>
  <si>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</si>
  <si>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sz val="11"/>
        <color theme="1"/>
        <rFont val="Calibri"/>
        <family val="2"/>
        <scheme val="minor"/>
      </rPr>
      <t>Transferts vers la réserve : Travaux publics – Taxe sur l’essence</t>
    </r>
  </si>
  <si>
    <r>
      <rPr>
        <sz val="11"/>
        <color theme="1"/>
        <rFont val="Calibri"/>
        <family val="2"/>
        <scheme val="minor"/>
      </rPr>
      <t>Intérêts de la dette</t>
    </r>
  </si>
  <si>
    <r>
      <rPr>
        <b/>
        <sz val="11"/>
        <color theme="1"/>
        <rFont val="Calibri"/>
        <family val="2"/>
        <scheme val="minor"/>
      </rPr>
      <t>ACTIFS AVEC DES SOURCES DE FINANCEMENT NON AFFECTÉES :</t>
    </r>
  </si>
  <si>
    <r>
      <rPr>
        <sz val="11"/>
        <color theme="1"/>
        <rFont val="Calibri"/>
        <family val="2"/>
        <scheme val="minor"/>
      </rPr>
      <t>Principal de la dette</t>
    </r>
  </si>
  <si>
    <r>
      <rPr>
        <sz val="11"/>
        <color theme="1"/>
        <rFont val="Calibri"/>
        <family val="2"/>
        <scheme val="minor"/>
      </rPr>
      <t>(répartis en fonction du coût de remplacement)</t>
    </r>
  </si>
  <si>
    <r>
      <rPr>
        <b/>
        <sz val="11"/>
        <color theme="1"/>
        <rFont val="Calibri"/>
        <family val="2"/>
        <scheme val="minor"/>
      </rPr>
      <t>FINANCEMENT DES INFRASTRUCTURES D’EAU</t>
    </r>
  </si>
  <si>
    <r>
      <rPr>
        <sz val="11"/>
        <color theme="1"/>
        <rFont val="Calibri"/>
        <family val="2"/>
        <scheme val="minor"/>
      </rPr>
      <t>Transfert à la réserve – Eau</t>
    </r>
  </si>
  <si>
    <r>
      <rPr>
        <sz val="11"/>
        <color theme="1"/>
        <rFont val="Calibri"/>
        <family val="2"/>
        <scheme val="minor"/>
      </rPr>
      <t>Eau</t>
    </r>
  </si>
  <si>
    <r>
      <rPr>
        <b/>
        <sz val="11"/>
        <color theme="1"/>
        <rFont val="Calibri"/>
        <family val="2"/>
        <scheme val="minor"/>
      </rPr>
      <t>FINANCEMENT DES INFRASTRUCTURES D’ÉGOUTS SANITAIRES</t>
    </r>
  </si>
  <si>
    <r>
      <rPr>
        <sz val="11"/>
        <color theme="1"/>
        <rFont val="Calibri"/>
        <family val="2"/>
        <scheme val="minor"/>
      </rPr>
      <t>Transfert à la réserve – Égouts</t>
    </r>
  </si>
  <si>
    <r>
      <rPr>
        <sz val="11"/>
        <color theme="1"/>
        <rFont val="Calibri"/>
        <family val="2"/>
        <scheme val="minor"/>
      </rPr>
      <t>Égouts sanitaires</t>
    </r>
  </si>
  <si>
    <r>
      <rPr>
        <b/>
        <sz val="11"/>
        <color theme="1"/>
        <rFont val="Calibri"/>
        <family val="2"/>
        <scheme val="minor"/>
      </rPr>
      <t>FINANCEMENT TOTAL</t>
    </r>
  </si>
  <si>
    <t>Nom de l’actif</t>
  </si>
  <si>
    <t>Description des aires de jeux</t>
  </si>
  <si>
    <t>Emplacement</t>
  </si>
  <si>
    <t>Valeur estimée</t>
  </si>
  <si>
    <t>Durée de vie physique</t>
  </si>
  <si>
    <t>Durée de vie utile</t>
  </si>
  <si>
    <t>Année d’installation</t>
  </si>
  <si>
    <t>Âge</t>
  </si>
  <si>
    <r>
      <rPr>
        <sz val="11"/>
        <color theme="1"/>
        <rFont val="Calibri"/>
        <family val="2"/>
        <scheme val="minor"/>
      </rPr>
      <t>Utilisation (%)</t>
    </r>
  </si>
  <si>
    <r>
      <rPr>
        <sz val="11"/>
        <color theme="1"/>
        <rFont val="Calibri"/>
        <family val="2"/>
        <scheme val="minor"/>
      </rPr>
      <t>En retard?</t>
    </r>
  </si>
  <si>
    <t>Utilisation ($)</t>
  </si>
  <si>
    <t>Valeur restante</t>
  </si>
  <si>
    <r>
      <rPr>
        <sz val="11"/>
        <color theme="1"/>
        <rFont val="Calibri"/>
        <family val="2"/>
        <scheme val="minor"/>
      </rPr>
      <t>PG0001</t>
    </r>
  </si>
  <si>
    <r>
      <rPr>
        <sz val="11"/>
        <color theme="1"/>
        <rFont val="Calibri"/>
        <family val="2"/>
        <scheme val="minor"/>
      </rPr>
      <t>Prairie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</si>
  <si>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</si>
  <si>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PG0002</t>
    </r>
  </si>
  <si>
    <r>
      <rPr>
        <sz val="11"/>
        <color theme="1"/>
        <rFont val="Calibri"/>
        <family val="2"/>
        <scheme val="minor"/>
      </rPr>
      <t>Hedgemont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</si>
  <si>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</si>
  <si>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PG0003</t>
    </r>
  </si>
  <si>
    <r>
      <rPr>
        <sz val="11"/>
        <color theme="1"/>
        <rFont val="Calibri"/>
        <family val="2"/>
        <scheme val="minor"/>
      </rPr>
      <t>Pioneers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</si>
  <si>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</si>
  <si>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PG0004</t>
    </r>
  </si>
  <si>
    <r>
      <rPr>
        <sz val="11"/>
        <color theme="1"/>
        <rFont val="Calibri"/>
        <family val="2"/>
        <scheme val="minor"/>
      </rPr>
      <t>Splash Pad Park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</si>
  <si>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</si>
  <si>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PG0005</t>
    </r>
  </si>
  <si>
    <r>
      <rPr>
        <sz val="11"/>
        <color theme="1"/>
        <rFont val="Calibri"/>
        <family val="2"/>
        <scheme val="minor"/>
      </rPr>
      <t>Black Top Rock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</si>
  <si>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</si>
  <si>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PG0006</t>
    </r>
  </si>
  <si>
    <r>
      <rPr>
        <sz val="11"/>
        <color theme="1"/>
        <rFont val="Calibri"/>
        <family val="2"/>
        <scheme val="minor"/>
      </rPr>
      <t>Crystal View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</si>
  <si>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</si>
  <si>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PG0007</t>
    </r>
  </si>
  <si>
    <r>
      <rPr>
        <sz val="11"/>
        <color theme="1"/>
        <rFont val="Calibri"/>
        <family val="2"/>
        <scheme val="minor"/>
      </rPr>
      <t>Spearfield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</si>
  <si>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</si>
  <si>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PG0008</t>
    </r>
  </si>
  <si>
    <r>
      <rPr>
        <sz val="11"/>
        <color theme="1"/>
        <rFont val="Calibri"/>
        <family val="2"/>
        <scheme val="minor"/>
      </rPr>
      <t>Centennial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</si>
  <si>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</si>
  <si>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PG0009</t>
    </r>
  </si>
  <si>
    <r>
      <rPr>
        <sz val="11"/>
        <color theme="1"/>
        <rFont val="Calibri"/>
        <family val="2"/>
        <scheme val="minor"/>
      </rPr>
      <t>Seaview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</si>
  <si>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</si>
  <si>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PG0010</t>
    </r>
  </si>
  <si>
    <r>
      <rPr>
        <sz val="11"/>
        <color theme="1"/>
        <rFont val="Calibri"/>
        <family val="2"/>
        <scheme val="minor"/>
      </rPr>
      <t>Alpine</t>
    </r>
  </si>
  <si>
    <r>
      <rPr>
        <sz val="11"/>
        <color theme="1"/>
        <rFont val="Calibri"/>
        <family val="2"/>
        <scheme val="minor"/>
      </rPr>
      <t>PG0011</t>
    </r>
  </si>
  <si>
    <r>
      <rPr>
        <sz val="11"/>
        <color theme="1"/>
        <rFont val="Calibri"/>
        <family val="2"/>
        <scheme val="minor"/>
      </rPr>
      <t>Twin-Sights</t>
    </r>
  </si>
  <si>
    <t>Description</t>
  </si>
  <si>
    <r>
      <rPr>
        <sz val="11"/>
        <color theme="1"/>
        <rFont val="Calibri"/>
        <family val="2"/>
        <scheme val="minor"/>
      </rPr>
      <t>VE0001</t>
    </r>
  </si>
  <si>
    <r>
      <rPr>
        <sz val="11"/>
        <color theme="1"/>
        <rFont val="Calibri"/>
        <family val="2"/>
        <scheme val="minor"/>
      </rPr>
      <t xml:space="preserve">Parks Ford F450 (camionnette/camion à benne basculante)  </t>
    </r>
  </si>
  <si>
    <r>
      <rPr>
        <sz val="11"/>
        <color theme="1"/>
        <rFont val="Calibri"/>
        <family val="2"/>
        <scheme val="minor"/>
      </rPr>
      <t>VE0002</t>
    </r>
  </si>
  <si>
    <r>
      <rPr>
        <sz val="11"/>
        <color theme="1"/>
        <rFont val="Calibri"/>
        <family val="2"/>
        <scheme val="minor"/>
      </rPr>
      <t>Grue articulée et camion à plateau</t>
    </r>
  </si>
  <si>
    <r>
      <rPr>
        <sz val="11"/>
        <color theme="1"/>
        <rFont val="Calibri"/>
        <family val="2"/>
        <scheme val="minor"/>
      </rPr>
      <t>VE0003</t>
    </r>
  </si>
  <si>
    <r>
      <rPr>
        <sz val="11"/>
        <color theme="1"/>
        <rFont val="Calibri"/>
        <family val="2"/>
        <scheme val="minor"/>
      </rPr>
      <t>Ford F550 (camion à benne basculante)</t>
    </r>
  </si>
  <si>
    <r>
      <rPr>
        <sz val="11"/>
        <color theme="1"/>
        <rFont val="Calibri"/>
        <family val="2"/>
        <scheme val="minor"/>
      </rPr>
      <t>VE0004</t>
    </r>
  </si>
  <si>
    <r>
      <rPr>
        <sz val="11"/>
        <color theme="1"/>
        <rFont val="Calibri"/>
        <family val="2"/>
        <scheme val="minor"/>
      </rPr>
      <t xml:space="preserve">Balayeuse de rues </t>
    </r>
  </si>
  <si>
    <r>
      <rPr>
        <sz val="11"/>
        <color theme="1"/>
        <rFont val="Calibri"/>
        <family val="2"/>
        <scheme val="minor"/>
      </rPr>
      <t>VE0005</t>
    </r>
  </si>
  <si>
    <r>
      <rPr>
        <sz val="11"/>
        <color theme="1"/>
        <rFont val="Calibri"/>
        <family val="2"/>
        <scheme val="minor"/>
      </rPr>
      <t>Camion à benne basculante à essieu tandem Navistar</t>
    </r>
  </si>
  <si>
    <r>
      <rPr>
        <sz val="11"/>
        <color theme="1"/>
        <rFont val="Calibri"/>
        <family val="2"/>
        <scheme val="minor"/>
      </rPr>
      <t>VE0006</t>
    </r>
  </si>
  <si>
    <r>
      <rPr>
        <sz val="11"/>
        <color theme="1"/>
        <rFont val="Calibri"/>
        <family val="2"/>
        <scheme val="minor"/>
      </rPr>
      <t>Camionnette F250 Super Duty</t>
    </r>
  </si>
  <si>
    <r>
      <rPr>
        <sz val="11"/>
        <color theme="1"/>
        <rFont val="Calibri"/>
        <family val="2"/>
        <scheme val="minor"/>
      </rPr>
      <t>VE0007</t>
    </r>
  </si>
  <si>
    <r>
      <rPr>
        <sz val="11"/>
        <color theme="1"/>
        <rFont val="Calibri"/>
        <family val="2"/>
        <scheme val="minor"/>
      </rPr>
      <t>Colorado (Eng)</t>
    </r>
  </si>
  <si>
    <r>
      <rPr>
        <sz val="11"/>
        <color theme="1"/>
        <rFont val="Calibri"/>
        <family val="2"/>
        <scheme val="minor"/>
      </rPr>
      <t>VE0008</t>
    </r>
  </si>
  <si>
    <r>
      <rPr>
        <sz val="11"/>
        <color theme="1"/>
        <rFont val="Calibri"/>
        <family val="2"/>
        <scheme val="minor"/>
      </rPr>
      <t>Camion nacelle électrique</t>
    </r>
  </si>
  <si>
    <r>
      <rPr>
        <sz val="11"/>
        <color theme="1"/>
        <rFont val="Calibri"/>
        <family val="2"/>
        <scheme val="minor"/>
      </rPr>
      <t>VE0009</t>
    </r>
  </si>
  <si>
    <r>
      <rPr>
        <sz val="11"/>
        <color theme="1"/>
        <rFont val="Calibri"/>
        <family val="2"/>
        <scheme val="minor"/>
      </rPr>
      <t>Chargeuse à benne frontale</t>
    </r>
  </si>
  <si>
    <r>
      <rPr>
        <sz val="11"/>
        <color theme="1"/>
        <rFont val="Calibri"/>
        <family val="2"/>
        <scheme val="minor"/>
      </rPr>
      <t>VE0010</t>
    </r>
  </si>
  <si>
    <r>
      <rPr>
        <sz val="11"/>
        <color theme="1"/>
        <rFont val="Calibri"/>
        <family val="2"/>
        <scheme val="minor"/>
      </rPr>
      <t>Camion à benne basculante à essieu simple (Navistar 4900)</t>
    </r>
  </si>
  <si>
    <r>
      <rPr>
        <sz val="11"/>
        <color theme="1"/>
        <rFont val="Calibri"/>
        <family val="2"/>
        <scheme val="minor"/>
      </rPr>
      <t>EQ001</t>
    </r>
  </si>
  <si>
    <r>
      <rPr>
        <sz val="11"/>
        <color theme="1"/>
        <rFont val="Calibri"/>
        <family val="2"/>
        <scheme val="minor"/>
      </rPr>
      <t>Rétrocaveuse CAT</t>
    </r>
  </si>
  <si>
    <r>
      <rPr>
        <sz val="11"/>
        <color theme="1"/>
        <rFont val="Calibri"/>
        <family val="2"/>
        <scheme val="minor"/>
      </rPr>
      <t>EQ002</t>
    </r>
  </si>
  <si>
    <r>
      <rPr>
        <sz val="11"/>
        <color theme="1"/>
        <rFont val="Calibri"/>
        <family val="2"/>
        <scheme val="minor"/>
      </rPr>
      <t>Grand tracteur</t>
    </r>
  </si>
  <si>
    <r>
      <rPr>
        <sz val="11"/>
        <color theme="1"/>
        <rFont val="Calibri"/>
        <family val="2"/>
        <scheme val="minor"/>
      </rPr>
      <t>EQ003</t>
    </r>
  </si>
  <si>
    <r>
      <rPr>
        <sz val="11"/>
        <color theme="1"/>
        <rFont val="Calibri"/>
        <family val="2"/>
        <scheme val="minor"/>
      </rPr>
      <t>Soc frontal 82</t>
    </r>
  </si>
  <si>
    <r>
      <rPr>
        <sz val="11"/>
        <color theme="1"/>
        <rFont val="Calibri"/>
        <family val="2"/>
        <scheme val="minor"/>
      </rPr>
      <t>EQ004</t>
    </r>
  </si>
  <si>
    <r>
      <rPr>
        <sz val="11"/>
        <color theme="1"/>
        <rFont val="Calibri"/>
        <family val="2"/>
        <scheme val="minor"/>
      </rPr>
      <t>Compresseur Sullair</t>
    </r>
  </si>
  <si>
    <r>
      <rPr>
        <sz val="11"/>
        <color theme="1"/>
        <rFont val="Calibri"/>
        <family val="2"/>
        <scheme val="minor"/>
      </rPr>
      <t>EQ005</t>
    </r>
  </si>
  <si>
    <r>
      <rPr>
        <sz val="11"/>
        <color theme="1"/>
        <rFont val="Calibri"/>
        <family val="2"/>
        <scheme val="minor"/>
      </rPr>
      <t>Chasse-neige 61</t>
    </r>
  </si>
  <si>
    <r>
      <rPr>
        <sz val="11"/>
        <color theme="1"/>
        <rFont val="Calibri"/>
        <family val="2"/>
        <scheme val="minor"/>
      </rPr>
      <t>EQ006</t>
    </r>
  </si>
  <si>
    <r>
      <rPr>
        <sz val="11"/>
        <color theme="1"/>
        <rFont val="Calibri"/>
        <family val="2"/>
        <scheme val="minor"/>
      </rPr>
      <t>Chasse-neige 21</t>
    </r>
  </si>
  <si>
    <r>
      <rPr>
        <sz val="11"/>
        <color theme="1"/>
        <rFont val="Calibri"/>
        <family val="2"/>
        <scheme val="minor"/>
      </rPr>
      <t>F0001</t>
    </r>
  </si>
  <si>
    <r>
      <rPr>
        <sz val="11"/>
        <color theme="1"/>
        <rFont val="Calibri"/>
        <family val="2"/>
        <scheme val="minor"/>
      </rPr>
      <t xml:space="preserve">Échelle </t>
    </r>
  </si>
  <si>
    <r>
      <rPr>
        <sz val="11"/>
        <color theme="1"/>
        <rFont val="Calibri"/>
        <family val="2"/>
        <scheme val="minor"/>
      </rPr>
      <t>F0002</t>
    </r>
  </si>
  <si>
    <r>
      <rPr>
        <sz val="11"/>
        <color theme="1"/>
        <rFont val="Calibri"/>
        <family val="2"/>
        <scheme val="minor"/>
      </rPr>
      <t>Véhicule léger de sauvetage</t>
    </r>
  </si>
  <si>
    <r>
      <rPr>
        <sz val="11"/>
        <color theme="1"/>
        <rFont val="Calibri"/>
        <family val="2"/>
        <scheme val="minor"/>
      </rPr>
      <t>F0003</t>
    </r>
  </si>
  <si>
    <r>
      <rPr>
        <sz val="11"/>
        <color theme="1"/>
        <rFont val="Calibri"/>
        <family val="2"/>
        <scheme val="minor"/>
      </rPr>
      <t>Battalion</t>
    </r>
  </si>
  <si>
    <r>
      <rPr>
        <sz val="11"/>
        <color theme="1"/>
        <rFont val="Calibri"/>
        <family val="2"/>
        <scheme val="minor"/>
      </rPr>
      <t>F0004</t>
    </r>
  </si>
  <si>
    <r>
      <rPr>
        <sz val="11"/>
        <color theme="1"/>
        <rFont val="Calibri"/>
        <family val="2"/>
        <scheme val="minor"/>
      </rPr>
      <t>Directeur municipal (Incendie)</t>
    </r>
  </si>
  <si>
    <r>
      <rPr>
        <sz val="11"/>
        <color theme="1"/>
        <rFont val="Calibri"/>
        <family val="2"/>
        <scheme val="minor"/>
      </rPr>
      <t>P0001</t>
    </r>
  </si>
  <si>
    <r>
      <rPr>
        <sz val="11"/>
        <color theme="1"/>
        <rFont val="Calibri"/>
        <family val="2"/>
        <scheme val="minor"/>
      </rPr>
      <t>Cruiser 1</t>
    </r>
  </si>
  <si>
    <r>
      <rPr>
        <sz val="11"/>
        <color theme="1"/>
        <rFont val="Calibri"/>
        <family val="2"/>
        <scheme val="minor"/>
      </rPr>
      <t>P0002</t>
    </r>
  </si>
  <si>
    <r>
      <rPr>
        <sz val="11"/>
        <color theme="1"/>
        <rFont val="Calibri"/>
        <family val="2"/>
        <scheme val="minor"/>
      </rPr>
      <t>Cruiser 2</t>
    </r>
  </si>
  <si>
    <r>
      <rPr>
        <sz val="11"/>
        <color theme="1"/>
        <rFont val="Calibri"/>
        <family val="2"/>
        <scheme val="minor"/>
      </rPr>
      <t>P0003</t>
    </r>
  </si>
  <si>
    <r>
      <rPr>
        <sz val="11"/>
        <color theme="1"/>
        <rFont val="Calibri"/>
        <family val="2"/>
        <scheme val="minor"/>
      </rPr>
      <t>Directeur municipal</t>
    </r>
  </si>
  <si>
    <r>
      <rPr>
        <b/>
        <sz val="11"/>
        <color theme="1"/>
        <rFont val="Calibri"/>
        <family val="2"/>
        <scheme val="minor"/>
      </rPr>
      <t>CONDUITES PRINCIPALES D’ÉGOUT PLUVIAL</t>
    </r>
  </si>
  <si>
    <t>Matériau</t>
  </si>
  <si>
    <r>
      <rPr>
        <sz val="11"/>
        <color theme="1"/>
        <rFont val="Calibri"/>
        <family val="2"/>
        <scheme val="minor"/>
      </rPr>
      <t>Facteur de sensibilité</t>
    </r>
  </si>
  <si>
    <r>
      <rPr>
        <sz val="11"/>
        <color theme="1"/>
        <rFont val="Calibri"/>
        <family val="2"/>
        <scheme val="minor"/>
      </rPr>
      <t>Chlorure de polyvinyle</t>
    </r>
  </si>
  <si>
    <t>PVC</t>
  </si>
  <si>
    <r>
      <rPr>
        <sz val="11"/>
        <color theme="1"/>
        <rFont val="Calibri"/>
        <family val="2"/>
        <scheme val="minor"/>
      </rPr>
      <t>Amiante-ciment</t>
    </r>
  </si>
  <si>
    <t>AC</t>
  </si>
  <si>
    <r>
      <rPr>
        <sz val="11"/>
        <color theme="1"/>
        <rFont val="Calibri"/>
        <family val="2"/>
        <scheme val="minor"/>
      </rPr>
      <t xml:space="preserve">Fonte </t>
    </r>
  </si>
  <si>
    <t>FT</t>
  </si>
  <si>
    <r>
      <rPr>
        <sz val="11"/>
        <color theme="1"/>
        <rFont val="Calibri"/>
        <family val="2"/>
        <scheme val="minor"/>
      </rPr>
      <t>Grès vernissé</t>
    </r>
  </si>
  <si>
    <t>GV</t>
  </si>
  <si>
    <r>
      <rPr>
        <sz val="11"/>
        <color theme="1"/>
        <rFont val="Calibri"/>
        <family val="2"/>
        <scheme val="minor"/>
      </rPr>
      <t>Acier</t>
    </r>
  </si>
  <si>
    <t>ST</t>
  </si>
  <si>
    <r>
      <rPr>
        <b/>
        <sz val="11"/>
        <color theme="1"/>
        <rFont val="Calibri"/>
        <family val="2"/>
        <scheme val="minor"/>
      </rPr>
      <t>CONDUITE PRINCIPALE</t>
    </r>
  </si>
  <si>
    <r>
      <rPr>
        <b/>
        <sz val="11"/>
        <color theme="1"/>
        <rFont val="Calibri"/>
        <family val="2"/>
        <scheme val="minor"/>
      </rPr>
      <t>COUCHE DE BASE</t>
    </r>
  </si>
  <si>
    <t>Routes locales</t>
  </si>
  <si>
    <t>Routes collectrices</t>
  </si>
  <si>
    <t>Voies artérielles</t>
  </si>
  <si>
    <r>
      <rPr>
        <b/>
        <sz val="11"/>
        <color theme="1"/>
        <rFont val="Calibri"/>
        <family val="2"/>
        <scheme val="minor"/>
      </rPr>
      <t>ÉGOUTS SANITAIRES</t>
    </r>
  </si>
  <si>
    <r>
      <rPr>
        <b/>
        <sz val="11"/>
        <color theme="1"/>
        <rFont val="Calibri"/>
        <family val="2"/>
        <scheme val="minor"/>
      </rPr>
      <t>REVÊTEMENT DE ROUTE</t>
    </r>
  </si>
  <si>
    <r>
      <rPr>
        <sz val="11"/>
        <color theme="1"/>
        <rFont val="Calibri"/>
        <family val="2"/>
        <scheme val="minor"/>
      </rPr>
      <t>Conduites principales d’égout pluvial</t>
    </r>
  </si>
  <si>
    <r>
      <rPr>
        <sz val="11"/>
        <color theme="1"/>
        <rFont val="Calibri"/>
        <family val="2"/>
        <scheme val="minor"/>
      </rPr>
      <t>Durée de vie utile Facteur de sensibilité</t>
    </r>
  </si>
  <si>
    <r>
      <rPr>
        <sz val="11"/>
        <color theme="1"/>
        <rFont val="Calibri"/>
        <family val="2"/>
        <scheme val="minor"/>
      </rPr>
      <t>Diamètre</t>
    </r>
  </si>
  <si>
    <r>
      <rPr>
        <sz val="11"/>
        <color theme="1"/>
        <rFont val="Calibri"/>
        <family val="2"/>
        <scheme val="minor"/>
      </rPr>
      <t>par mètre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</si>
  <si>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</si>
  <si>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comprend couche de base, couche de fondation, couche supérieure d’asphalte de 50 mm, enlèvement 15 % ingénierie et 25 % imprévus</t>
    </r>
  </si>
  <si>
    <r>
      <rPr>
        <sz val="11"/>
        <color theme="1"/>
        <rFont val="Calibri"/>
        <family val="2"/>
        <scheme val="minor"/>
      </rPr>
      <t>couche supérieure d’asphalte de 50 mm, enlèvement 15 % ingénierie et 25 % imprévus</t>
    </r>
  </si>
  <si>
    <t>Diamètre (mm)</t>
  </si>
  <si>
    <t>Longueur (m)</t>
  </si>
  <si>
    <t>Taux unitaire (par mètre)</t>
  </si>
  <si>
    <r>
      <rPr>
        <sz val="11"/>
        <color theme="1"/>
        <rFont val="Calibri"/>
        <family val="2"/>
        <scheme val="minor"/>
      </rPr>
      <t>Remplacement 1</t>
    </r>
  </si>
  <si>
    <r>
      <rPr>
        <sz val="11"/>
        <color theme="1"/>
        <rFont val="Calibri"/>
        <family val="2"/>
        <scheme val="minor"/>
      </rPr>
      <t>Remplacement 2</t>
    </r>
  </si>
  <si>
    <t>SS001</t>
  </si>
  <si>
    <t>SS002</t>
  </si>
  <si>
    <t>SS003</t>
  </si>
  <si>
    <t>SS004</t>
  </si>
  <si>
    <t>SS005</t>
  </si>
  <si>
    <t>SS006</t>
  </si>
  <si>
    <t>SS007</t>
  </si>
  <si>
    <t>SS008</t>
  </si>
  <si>
    <t>SS009</t>
  </si>
  <si>
    <t>SS010</t>
  </si>
  <si>
    <t>SS011</t>
  </si>
  <si>
    <t>SS012</t>
  </si>
  <si>
    <t>SS013</t>
  </si>
  <si>
    <t>SS014</t>
  </si>
  <si>
    <t>SS015</t>
  </si>
  <si>
    <t>SS016</t>
  </si>
  <si>
    <t>SS017</t>
  </si>
  <si>
    <t>SS018</t>
  </si>
  <si>
    <t>SS019</t>
  </si>
  <si>
    <t>SS020</t>
  </si>
  <si>
    <t>SS021</t>
  </si>
  <si>
    <t>SS022</t>
  </si>
  <si>
    <t>SS023</t>
  </si>
  <si>
    <t>SS024</t>
  </si>
  <si>
    <t>SS025</t>
  </si>
  <si>
    <t>SS026</t>
  </si>
  <si>
    <t>SS027</t>
  </si>
  <si>
    <t>SS028</t>
  </si>
  <si>
    <t>SS029</t>
  </si>
  <si>
    <t>SS030</t>
  </si>
  <si>
    <t>SS031</t>
  </si>
  <si>
    <t>SS032</t>
  </si>
  <si>
    <t>SS033</t>
  </si>
  <si>
    <t>SS034</t>
  </si>
  <si>
    <t>SS035</t>
  </si>
  <si>
    <t>SS036</t>
  </si>
  <si>
    <t>SS037</t>
  </si>
  <si>
    <t>SS038</t>
  </si>
  <si>
    <t>SS039</t>
  </si>
  <si>
    <t>SS040</t>
  </si>
  <si>
    <t>SS041</t>
  </si>
  <si>
    <t>SS042</t>
  </si>
  <si>
    <t>SS043</t>
  </si>
  <si>
    <t>SS044</t>
  </si>
  <si>
    <t>SS045</t>
  </si>
  <si>
    <t>SS046</t>
  </si>
  <si>
    <t>SS047</t>
  </si>
  <si>
    <t>SS048</t>
  </si>
  <si>
    <t>SS049</t>
  </si>
  <si>
    <t>SS050</t>
  </si>
  <si>
    <t>SS051</t>
  </si>
  <si>
    <t>SS052</t>
  </si>
  <si>
    <t>SS053</t>
  </si>
  <si>
    <t>SS054</t>
  </si>
  <si>
    <t>SS055</t>
  </si>
  <si>
    <t>SS056</t>
  </si>
  <si>
    <t>SS057</t>
  </si>
  <si>
    <t>SS058</t>
  </si>
  <si>
    <t>SS059</t>
  </si>
  <si>
    <t>SS060</t>
  </si>
  <si>
    <t>SS061</t>
  </si>
  <si>
    <t>SS062</t>
  </si>
  <si>
    <t>SS063</t>
  </si>
  <si>
    <t>SS064</t>
  </si>
  <si>
    <t>SS065</t>
  </si>
  <si>
    <t>SS066</t>
  </si>
  <si>
    <t>SS067</t>
  </si>
  <si>
    <t>SS068</t>
  </si>
  <si>
    <t>SS069</t>
  </si>
  <si>
    <t>SS070</t>
  </si>
  <si>
    <t>SS071</t>
  </si>
  <si>
    <t>SS072</t>
  </si>
  <si>
    <t>SS073</t>
  </si>
  <si>
    <t>SS074</t>
  </si>
  <si>
    <t>SS075</t>
  </si>
  <si>
    <t>SS076</t>
  </si>
  <si>
    <t>SS077</t>
  </si>
  <si>
    <t>SS078</t>
  </si>
  <si>
    <t>SS079</t>
  </si>
  <si>
    <t>SS080</t>
  </si>
  <si>
    <t>SS081</t>
  </si>
  <si>
    <t>SS082</t>
  </si>
  <si>
    <t>SS083</t>
  </si>
  <si>
    <t>SS084</t>
  </si>
  <si>
    <t>SS085</t>
  </si>
  <si>
    <t>SS086</t>
  </si>
  <si>
    <t>SS087</t>
  </si>
  <si>
    <t>SS088</t>
  </si>
  <si>
    <t>SS089</t>
  </si>
  <si>
    <t>SS090</t>
  </si>
  <si>
    <t>SS091</t>
  </si>
  <si>
    <t>SS092</t>
  </si>
  <si>
    <t>SS093</t>
  </si>
  <si>
    <t>SS094</t>
  </si>
  <si>
    <t>SS095</t>
  </si>
  <si>
    <t>SS096</t>
  </si>
  <si>
    <t>SS097</t>
  </si>
  <si>
    <t>SS098</t>
  </si>
  <si>
    <t>SS099</t>
  </si>
  <si>
    <t>SS100</t>
  </si>
  <si>
    <t>SS101</t>
  </si>
  <si>
    <t>SS102</t>
  </si>
  <si>
    <t>SS103</t>
  </si>
  <si>
    <t>SS104</t>
  </si>
  <si>
    <t>SS105</t>
  </si>
  <si>
    <t>SS106</t>
  </si>
  <si>
    <t>SS107</t>
  </si>
  <si>
    <t>SS108</t>
  </si>
  <si>
    <t>SS109</t>
  </si>
  <si>
    <t>SS110</t>
  </si>
  <si>
    <t>SS111</t>
  </si>
  <si>
    <t>SS112</t>
  </si>
  <si>
    <t>SS113</t>
  </si>
  <si>
    <t>SS114</t>
  </si>
  <si>
    <t>SS115</t>
  </si>
  <si>
    <t>SS116</t>
  </si>
  <si>
    <t>SS117</t>
  </si>
  <si>
    <t>SS118</t>
  </si>
  <si>
    <t>SS119</t>
  </si>
  <si>
    <t>SS120</t>
  </si>
  <si>
    <t>SS121</t>
  </si>
  <si>
    <t>SS122</t>
  </si>
  <si>
    <t>SS123</t>
  </si>
  <si>
    <t>SS124</t>
  </si>
  <si>
    <t>SS125</t>
  </si>
  <si>
    <t>SS126</t>
  </si>
  <si>
    <t>SS127</t>
  </si>
  <si>
    <t>SS128</t>
  </si>
  <si>
    <t>SS129</t>
  </si>
  <si>
    <t>SS130</t>
  </si>
  <si>
    <t>SS131</t>
  </si>
  <si>
    <t>SS132</t>
  </si>
  <si>
    <t>SS133</t>
  </si>
  <si>
    <t>SS134</t>
  </si>
  <si>
    <t>SS135</t>
  </si>
  <si>
    <t>SS136</t>
  </si>
  <si>
    <t>SS137</t>
  </si>
  <si>
    <t>SS138</t>
  </si>
  <si>
    <t>SS139</t>
  </si>
  <si>
    <t>SS140</t>
  </si>
  <si>
    <t>SS141</t>
  </si>
  <si>
    <t>SS142</t>
  </si>
  <si>
    <t>SS143</t>
  </si>
  <si>
    <t>SS144</t>
  </si>
  <si>
    <t>SS145</t>
  </si>
  <si>
    <t>SS146</t>
  </si>
  <si>
    <t>SS147</t>
  </si>
  <si>
    <t>SS148</t>
  </si>
  <si>
    <t>SS149</t>
  </si>
  <si>
    <t>SS150</t>
  </si>
  <si>
    <t>SS151</t>
  </si>
  <si>
    <t>SS152</t>
  </si>
  <si>
    <t>SS153</t>
  </si>
  <si>
    <t>SS154</t>
  </si>
  <si>
    <t>SS155</t>
  </si>
  <si>
    <t>SS156</t>
  </si>
  <si>
    <t>SS157</t>
  </si>
  <si>
    <t>SS158</t>
  </si>
  <si>
    <t>SS159</t>
  </si>
  <si>
    <t>SS160</t>
  </si>
  <si>
    <t>SS161</t>
  </si>
  <si>
    <t>SS162</t>
  </si>
  <si>
    <t>SS163</t>
  </si>
  <si>
    <t>SS164</t>
  </si>
  <si>
    <t>SS165</t>
  </si>
  <si>
    <t>SS166</t>
  </si>
  <si>
    <t>SS167</t>
  </si>
  <si>
    <t>SS168</t>
  </si>
  <si>
    <t>SS169</t>
  </si>
  <si>
    <t>SS170</t>
  </si>
  <si>
    <t>SS171</t>
  </si>
  <si>
    <t>SS172</t>
  </si>
  <si>
    <t>SS173</t>
  </si>
  <si>
    <t>SS174</t>
  </si>
  <si>
    <t>SS175</t>
  </si>
  <si>
    <t>SS176</t>
  </si>
  <si>
    <t>SS177</t>
  </si>
  <si>
    <t>SS178</t>
  </si>
  <si>
    <t>SS179</t>
  </si>
  <si>
    <t>SS180</t>
  </si>
  <si>
    <t>SS181</t>
  </si>
  <si>
    <t>SS182</t>
  </si>
  <si>
    <t>SS183</t>
  </si>
  <si>
    <t>SS184</t>
  </si>
  <si>
    <t>SS185</t>
  </si>
  <si>
    <t>SS186</t>
  </si>
  <si>
    <t>SS187</t>
  </si>
  <si>
    <t>SS188</t>
  </si>
  <si>
    <t>SS189</t>
  </si>
  <si>
    <t>SS190</t>
  </si>
  <si>
    <t>SS191</t>
  </si>
  <si>
    <t>SS192</t>
  </si>
  <si>
    <t>SS193</t>
  </si>
  <si>
    <t>SS194</t>
  </si>
  <si>
    <t>SS195</t>
  </si>
  <si>
    <t>SS196</t>
  </si>
  <si>
    <t>SS197</t>
  </si>
  <si>
    <t>SS198</t>
  </si>
  <si>
    <t>SS199</t>
  </si>
  <si>
    <t>SS200</t>
  </si>
  <si>
    <r>
      <rPr>
        <sz val="11"/>
        <color theme="1"/>
        <rFont val="Calibri"/>
        <family val="2"/>
        <scheme val="minor"/>
      </rPr>
      <t>Transfert à la réserve de la taxe sur l’essence</t>
    </r>
  </si>
  <si>
    <r>
      <rPr>
        <sz val="11"/>
        <color theme="1"/>
        <rFont val="Calibri"/>
        <family val="2"/>
        <scheme val="minor"/>
      </rPr>
      <t>Transfert à la réserve pour le remplacement des infrastructures d’égouts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</si>
  <si>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</si>
  <si>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sz val="11"/>
        <color theme="1"/>
        <rFont val="Calibri"/>
        <family val="2"/>
        <scheme val="minor"/>
      </rPr>
      <t>Niveau de financement durable</t>
    </r>
  </si>
  <si>
    <r>
      <rPr>
        <sz val="11"/>
        <color theme="1"/>
        <rFont val="Calibri"/>
        <family val="2"/>
        <scheme val="minor"/>
      </rPr>
      <t>Financement durable (%)</t>
    </r>
  </si>
  <si>
    <r>
      <rPr>
        <sz val="11"/>
        <color theme="1"/>
        <rFont val="Calibri"/>
        <family val="2"/>
        <scheme val="minor"/>
      </rPr>
      <t>Écart de financement annuel</t>
    </r>
  </si>
  <si>
    <r>
      <rPr>
        <sz val="11"/>
        <color theme="1"/>
        <rFont val="Calibri"/>
        <family val="2"/>
        <scheme val="minor"/>
      </rPr>
      <t>Consommation jusqu’à présent</t>
    </r>
  </si>
  <si>
    <r>
      <rPr>
        <sz val="11"/>
        <color theme="1"/>
        <rFont val="Calibri"/>
        <family val="2"/>
        <scheme val="minor"/>
      </rPr>
      <t>Réserves actuelles</t>
    </r>
  </si>
  <si>
    <r>
      <rPr>
        <sz val="11"/>
        <color theme="1"/>
        <rFont val="Calibri"/>
        <family val="2"/>
        <scheme val="minor"/>
      </rPr>
      <t>Écart cumulé de financement des infrastructures</t>
    </r>
  </si>
  <si>
    <r>
      <rPr>
        <sz val="11"/>
        <color theme="1"/>
        <rFont val="Calibri"/>
        <family val="2"/>
        <scheme val="minor"/>
      </rPr>
      <t>Optimisme ++</t>
    </r>
  </si>
  <si>
    <r>
      <rPr>
        <sz val="11"/>
        <color theme="1"/>
        <rFont val="Calibri"/>
        <family val="2"/>
        <scheme val="minor"/>
      </rPr>
      <t>Optimisme +</t>
    </r>
  </si>
  <si>
    <r>
      <rPr>
        <sz val="11"/>
        <color theme="1"/>
        <rFont val="Calibri"/>
        <family val="2"/>
        <scheme val="minor"/>
      </rPr>
      <t>Actuel</t>
    </r>
  </si>
  <si>
    <r>
      <rPr>
        <sz val="11"/>
        <color theme="1"/>
        <rFont val="Calibri"/>
        <family val="2"/>
        <scheme val="minor"/>
      </rPr>
      <t>Pessimiste -</t>
    </r>
  </si>
  <si>
    <r>
      <rPr>
        <sz val="11"/>
        <color theme="1"/>
        <rFont val="Calibri"/>
        <family val="2"/>
        <scheme val="minor"/>
      </rPr>
      <t>Pessimiste --</t>
    </r>
  </si>
  <si>
    <r>
      <rPr>
        <sz val="11"/>
        <color theme="1"/>
        <rFont val="Calibri"/>
        <family val="2"/>
        <scheme val="minor"/>
      </rPr>
      <t>Scénario 1</t>
    </r>
  </si>
  <si>
    <r>
      <rPr>
        <sz val="11"/>
        <color theme="1"/>
        <rFont val="Calibri"/>
        <family val="2"/>
        <scheme val="minor"/>
      </rPr>
      <t xml:space="preserve">Scénario 2 </t>
    </r>
  </si>
  <si>
    <r>
      <rPr>
        <sz val="11"/>
        <color theme="1"/>
        <rFont val="Calibri"/>
        <family val="2"/>
        <scheme val="minor"/>
      </rPr>
      <t>Scénario 3</t>
    </r>
  </si>
  <si>
    <r>
      <rPr>
        <sz val="11"/>
        <color theme="1"/>
        <rFont val="Calibri"/>
        <family val="2"/>
        <scheme val="minor"/>
      </rPr>
      <t>Scénario 4</t>
    </r>
  </si>
  <si>
    <r>
      <rPr>
        <sz val="11"/>
        <color theme="1"/>
        <rFont val="Calibri"/>
        <family val="2"/>
        <scheme val="minor"/>
      </rPr>
      <t>Scénario 5</t>
    </r>
  </si>
  <si>
    <r>
      <rPr>
        <sz val="11"/>
        <color theme="1"/>
        <rFont val="Calibri"/>
        <family val="2"/>
        <scheme val="minor"/>
      </rPr>
      <t>Durée de vie utile</t>
    </r>
  </si>
  <si>
    <t>+20 %</t>
  </si>
  <si>
    <t>+10 %</t>
  </si>
  <si>
    <t>-10 %</t>
  </si>
  <si>
    <t>-20 %</t>
  </si>
  <si>
    <r>
      <rPr>
        <sz val="11"/>
        <color theme="1"/>
        <rFont val="Calibri"/>
        <family val="2"/>
        <scheme val="minor"/>
      </rPr>
      <t>Coûts de remplacement</t>
    </r>
  </si>
  <si>
    <r>
      <rPr>
        <sz val="11"/>
        <color theme="1"/>
        <rFont val="Calibri"/>
        <family val="2"/>
        <scheme val="minor"/>
      </rPr>
      <t>Financement durable</t>
    </r>
  </si>
  <si>
    <r>
      <rPr>
        <sz val="11"/>
        <color theme="1"/>
        <rFont val="Calibri"/>
        <family val="2"/>
        <scheme val="minor"/>
      </rPr>
      <t>Écart de financement sur 100 ans</t>
    </r>
  </si>
  <si>
    <r>
      <rPr>
        <sz val="11"/>
        <color theme="1"/>
        <rFont val="Calibri"/>
        <family val="2"/>
        <scheme val="minor"/>
      </rPr>
      <t xml:space="preserve">Revenus annuels des services d’égouts </t>
    </r>
  </si>
  <si>
    <r>
      <rPr>
        <sz val="11"/>
        <color theme="1"/>
        <rFont val="Calibri"/>
        <family val="2"/>
        <scheme val="minor"/>
      </rPr>
      <t>Facture moyenne des services d’égouts</t>
    </r>
  </si>
  <si>
    <r>
      <rPr>
        <sz val="11"/>
        <color theme="1"/>
        <rFont val="Calibri"/>
        <family val="2"/>
        <scheme val="minor"/>
      </rPr>
      <t>Réserves prévues</t>
    </r>
  </si>
  <si>
    <r>
      <rPr>
        <sz val="11"/>
        <color theme="1"/>
        <rFont val="Calibri"/>
        <family val="2"/>
        <scheme val="minor"/>
      </rPr>
      <t>Solde d’ouverture</t>
    </r>
  </si>
  <si>
    <r>
      <rPr>
        <sz val="11"/>
        <color theme="1"/>
        <rFont val="Calibri"/>
        <family val="2"/>
        <scheme val="minor"/>
      </rPr>
      <t>Plus : Contributions</t>
    </r>
  </si>
  <si>
    <r>
      <rPr>
        <sz val="11"/>
        <color theme="1"/>
        <rFont val="Calibri"/>
        <family val="2"/>
        <scheme val="minor"/>
      </rPr>
      <t>Moins : Dépenses</t>
    </r>
  </si>
  <si>
    <r>
      <rPr>
        <sz val="11"/>
        <color theme="1"/>
        <rFont val="Calibri"/>
        <family val="2"/>
        <scheme val="minor"/>
      </rPr>
      <t>Solde de fermeture</t>
    </r>
  </si>
  <si>
    <t>Description des bâtiments</t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</si>
  <si>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</si>
  <si>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Salle communautaire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</si>
  <si>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</si>
  <si>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Poste de police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</si>
  <si>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</si>
  <si>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Caserne de pompiers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</si>
  <si>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</si>
  <si>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Centre de loisirs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</si>
  <si>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</si>
  <si>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Bibliothèque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</si>
  <si>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</si>
  <si>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Chantier de travaux publics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</si>
  <si>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</si>
  <si>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Centre communautaire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</si>
  <si>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</si>
  <si>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Hangar de parc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</si>
  <si>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</si>
  <si>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Bâtiment de concession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</si>
  <si>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</si>
  <si>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Entrepôt des travaux publics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</si>
  <si>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</si>
  <si>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Garage de mécanique automobile</t>
    </r>
  </si>
  <si>
    <t>Composant</t>
  </si>
  <si>
    <t>Nom du sous-composant</t>
  </si>
  <si>
    <t>Moyenne sectorielle</t>
  </si>
  <si>
    <t>Combien d’itérations pour une reconstruction complète?</t>
  </si>
  <si>
    <t>Coût du cycle de vie</t>
  </si>
  <si>
    <t>Durée de vie (reconstruction)</t>
  </si>
  <si>
    <t>Année d’installation/de reconstruction</t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</si>
  <si>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</si>
  <si>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Salle municipale - Toit</t>
    </r>
  </si>
  <si>
    <r>
      <rPr>
        <sz val="11"/>
        <color theme="1"/>
        <rFont val="Calibri"/>
        <family val="2"/>
        <scheme val="minor"/>
      </rPr>
      <t>B0001.A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</si>
  <si>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</si>
  <si>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Salle municipale - Systèmes mécaniques</t>
    </r>
  </si>
  <si>
    <r>
      <rPr>
        <sz val="11"/>
        <color theme="1"/>
        <rFont val="Calibri"/>
        <family val="2"/>
        <scheme val="minor"/>
      </rPr>
      <t>B0001.B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</si>
  <si>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</si>
  <si>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Salle municipale - Fenêtres</t>
    </r>
  </si>
  <si>
    <r>
      <rPr>
        <sz val="11"/>
        <color theme="1"/>
        <rFont val="Calibri"/>
        <family val="2"/>
        <scheme val="minor"/>
      </rPr>
      <t>B0001.C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</si>
  <si>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</si>
  <si>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Salle municipale - Portes</t>
    </r>
  </si>
  <si>
    <r>
      <rPr>
        <sz val="11"/>
        <color theme="1"/>
        <rFont val="Calibri"/>
        <family val="2"/>
        <scheme val="minor"/>
      </rPr>
      <t>B0001.D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</si>
  <si>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</si>
  <si>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Salle municipale - Systèmes électriques</t>
    </r>
  </si>
  <si>
    <r>
      <rPr>
        <sz val="11"/>
        <color theme="1"/>
        <rFont val="Calibri"/>
        <family val="2"/>
        <scheme val="minor"/>
      </rPr>
      <t>B0001.E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</si>
  <si>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</si>
  <si>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Salle municipale - Revêtements de sol</t>
    </r>
  </si>
  <si>
    <r>
      <rPr>
        <sz val="11"/>
        <color theme="1"/>
        <rFont val="Calibri"/>
        <family val="2"/>
        <scheme val="minor"/>
      </rPr>
      <t>B0001.F</t>
    </r>
  </si>
  <si>
    <t>Catégorie de routes</t>
  </si>
  <si>
    <t>Nom de rue</t>
  </si>
  <si>
    <t>Rue de départ</t>
  </si>
  <si>
    <t>Rue de destination</t>
  </si>
  <si>
    <t>Superficie (mètres carrés)</t>
  </si>
  <si>
    <t>Taux unitaire - Couche de base (par mètre carré)</t>
  </si>
  <si>
    <t>Taux unitaire - Couche supérieure (par mètre carré)</t>
  </si>
  <si>
    <t>Coûts de remplacement - couche de base</t>
  </si>
  <si>
    <t>Coûts de remplacement - couche supérieure</t>
  </si>
  <si>
    <t>Coûts du cycle de vie - Couche supérieure</t>
  </si>
  <si>
    <t>Coûts totaux du cycle de vie</t>
  </si>
  <si>
    <t>Durée de vie physique - Couche de base</t>
  </si>
  <si>
    <t>Durée de vie utile - Couche de base</t>
  </si>
  <si>
    <t>Durée de vie physique - Couche supérieure</t>
  </si>
  <si>
    <t>Durée de vie utile - Couche supérieure</t>
  </si>
  <si>
    <t>RD001</t>
  </si>
  <si>
    <t>Asphalte</t>
  </si>
  <si>
    <t>Aberdene Rd.</t>
  </si>
  <si>
    <t>Evergreen Blv</t>
  </si>
  <si>
    <t>Tooley Ave</t>
  </si>
  <si>
    <t>RD002</t>
  </si>
  <si>
    <t>Evergreen.</t>
  </si>
  <si>
    <t>Aberdene Rd</t>
  </si>
  <si>
    <t>Fifth Ave.</t>
  </si>
  <si>
    <t>RD003</t>
  </si>
  <si>
    <t>Tooley Ave.</t>
  </si>
  <si>
    <t>Picark Rd.</t>
  </si>
  <si>
    <t>RD004</t>
  </si>
  <si>
    <t>First St.</t>
  </si>
  <si>
    <t>Esteven Rd.</t>
  </si>
  <si>
    <t>Helpton Rd.</t>
  </si>
  <si>
    <t>RD005</t>
  </si>
  <si>
    <t>RD006</t>
  </si>
  <si>
    <t>RD007</t>
  </si>
  <si>
    <t>RD008</t>
  </si>
  <si>
    <t>RD009</t>
  </si>
  <si>
    <t>RD010</t>
  </si>
  <si>
    <t>RD011</t>
  </si>
  <si>
    <t>RD012</t>
  </si>
  <si>
    <t>RD013</t>
  </si>
  <si>
    <t>RD014</t>
  </si>
  <si>
    <t>RD015</t>
  </si>
  <si>
    <t>RD016</t>
  </si>
  <si>
    <t>RD017</t>
  </si>
  <si>
    <t>RD018</t>
  </si>
  <si>
    <t>RD019</t>
  </si>
  <si>
    <t>RD020</t>
  </si>
  <si>
    <t>RD021</t>
  </si>
  <si>
    <t>RD022</t>
  </si>
  <si>
    <t>RD023</t>
  </si>
  <si>
    <t>RD024</t>
  </si>
  <si>
    <t>RD025</t>
  </si>
  <si>
    <t>RD026</t>
  </si>
  <si>
    <t>RD027</t>
  </si>
  <si>
    <t>RD028</t>
  </si>
  <si>
    <t>RD029</t>
  </si>
  <si>
    <t>RD030</t>
  </si>
  <si>
    <t>RD031</t>
  </si>
  <si>
    <t>RD032</t>
  </si>
  <si>
    <t>RD033</t>
  </si>
  <si>
    <t>RD034</t>
  </si>
  <si>
    <t>RD035</t>
  </si>
  <si>
    <t>RD036</t>
  </si>
  <si>
    <t>RD037</t>
  </si>
  <si>
    <t>RD038</t>
  </si>
  <si>
    <t>RD039</t>
  </si>
  <si>
    <t>RD040</t>
  </si>
  <si>
    <t>RD041</t>
  </si>
  <si>
    <t>RD042</t>
  </si>
  <si>
    <t>RD043</t>
  </si>
  <si>
    <t>RD044</t>
  </si>
  <si>
    <t>RD045</t>
  </si>
  <si>
    <t>RD046</t>
  </si>
  <si>
    <t>RD047</t>
  </si>
  <si>
    <t>RD048</t>
  </si>
  <si>
    <t>RD049</t>
  </si>
  <si>
    <t>RD050</t>
  </si>
  <si>
    <t>RD051</t>
  </si>
  <si>
    <t>RD052</t>
  </si>
  <si>
    <t>RD053</t>
  </si>
  <si>
    <t>RD054</t>
  </si>
  <si>
    <t>RD055</t>
  </si>
  <si>
    <t>RD056</t>
  </si>
  <si>
    <t>RD057</t>
  </si>
  <si>
    <t>RD058</t>
  </si>
  <si>
    <t>RD059</t>
  </si>
  <si>
    <t>RD060</t>
  </si>
  <si>
    <t>RD061</t>
  </si>
  <si>
    <t>RD062</t>
  </si>
  <si>
    <t>RD063</t>
  </si>
  <si>
    <t>RD064</t>
  </si>
  <si>
    <t>RD065</t>
  </si>
  <si>
    <t>RD066</t>
  </si>
  <si>
    <t>RD067</t>
  </si>
  <si>
    <t>RD068</t>
  </si>
  <si>
    <t>RD069</t>
  </si>
  <si>
    <t>RD070</t>
  </si>
  <si>
    <t>RD071</t>
  </si>
  <si>
    <t>RD072</t>
  </si>
  <si>
    <t>RD073</t>
  </si>
  <si>
    <t>RD074</t>
  </si>
  <si>
    <t>RD075</t>
  </si>
  <si>
    <t>RD076</t>
  </si>
  <si>
    <t>RD077</t>
  </si>
  <si>
    <t>RD078</t>
  </si>
  <si>
    <t>RD079</t>
  </si>
  <si>
    <t>RD080</t>
  </si>
  <si>
    <t>RD081</t>
  </si>
  <si>
    <t>RD082</t>
  </si>
  <si>
    <t>RD083</t>
  </si>
  <si>
    <t>RD084</t>
  </si>
  <si>
    <t>RD085</t>
  </si>
  <si>
    <t>RD086</t>
  </si>
  <si>
    <t>RD087</t>
  </si>
  <si>
    <t>RD088</t>
  </si>
  <si>
    <t>RD089</t>
  </si>
  <si>
    <t>RD090</t>
  </si>
  <si>
    <t>RD091</t>
  </si>
  <si>
    <t>RD092</t>
  </si>
  <si>
    <t>RD093</t>
  </si>
  <si>
    <t>RD094</t>
  </si>
  <si>
    <t>RD095</t>
  </si>
  <si>
    <t>RD096</t>
  </si>
  <si>
    <t>RD097</t>
  </si>
  <si>
    <t>RD098</t>
  </si>
  <si>
    <t>RD099</t>
  </si>
  <si>
    <t>RD100</t>
  </si>
  <si>
    <t>RD101</t>
  </si>
  <si>
    <t>RD102</t>
  </si>
  <si>
    <t>RD103</t>
  </si>
  <si>
    <t>RD104</t>
  </si>
  <si>
    <t>RD105</t>
  </si>
  <si>
    <t>RD106</t>
  </si>
  <si>
    <t>RD107</t>
  </si>
  <si>
    <t>RD108</t>
  </si>
  <si>
    <t>RD109</t>
  </si>
  <si>
    <t>RD110</t>
  </si>
  <si>
    <t>RD111</t>
  </si>
  <si>
    <t>RD112</t>
  </si>
  <si>
    <t>RD113</t>
  </si>
  <si>
    <t>RD114</t>
  </si>
  <si>
    <t>RD115</t>
  </si>
  <si>
    <t>RD116</t>
  </si>
  <si>
    <t>RD117</t>
  </si>
  <si>
    <t>RD118</t>
  </si>
  <si>
    <t>RD119</t>
  </si>
  <si>
    <t>RD120</t>
  </si>
  <si>
    <t>RD121</t>
  </si>
  <si>
    <t>RD122</t>
  </si>
  <si>
    <t>RD123</t>
  </si>
  <si>
    <t>RD124</t>
  </si>
  <si>
    <t>RD125</t>
  </si>
  <si>
    <t>RD126</t>
  </si>
  <si>
    <t>RD127</t>
  </si>
  <si>
    <t>RD128</t>
  </si>
  <si>
    <t>RD129</t>
  </si>
  <si>
    <t>RD130</t>
  </si>
  <si>
    <t>RD131</t>
  </si>
  <si>
    <t>RD132</t>
  </si>
  <si>
    <t>RD133</t>
  </si>
  <si>
    <t>RD134</t>
  </si>
  <si>
    <t>RD135</t>
  </si>
  <si>
    <t>RD136</t>
  </si>
  <si>
    <t>RD137</t>
  </si>
  <si>
    <t>RD138</t>
  </si>
  <si>
    <t>RD139</t>
  </si>
  <si>
    <t>RD140</t>
  </si>
  <si>
    <t>RD141</t>
  </si>
  <si>
    <t>RD142</t>
  </si>
  <si>
    <t>RD143</t>
  </si>
  <si>
    <t>RD144</t>
  </si>
  <si>
    <t>RD145</t>
  </si>
  <si>
    <t>RD146</t>
  </si>
  <si>
    <t>RD147</t>
  </si>
  <si>
    <t>RD148</t>
  </si>
  <si>
    <t>RD149</t>
  </si>
  <si>
    <t>RD150</t>
  </si>
  <si>
    <t>RD151</t>
  </si>
  <si>
    <t>RD152</t>
  </si>
  <si>
    <t>RD153</t>
  </si>
  <si>
    <t>RD154</t>
  </si>
  <si>
    <t>RD155</t>
  </si>
  <si>
    <t>RD156</t>
  </si>
  <si>
    <t>RD157</t>
  </si>
  <si>
    <t>RD158</t>
  </si>
  <si>
    <t>RD159</t>
  </si>
  <si>
    <t>RD160</t>
  </si>
  <si>
    <t>RD161</t>
  </si>
  <si>
    <t>RD162</t>
  </si>
  <si>
    <t>RD163</t>
  </si>
  <si>
    <t>RD164</t>
  </si>
  <si>
    <t>RD165</t>
  </si>
  <si>
    <t>RD166</t>
  </si>
  <si>
    <t>RD167</t>
  </si>
  <si>
    <t>RD168</t>
  </si>
  <si>
    <t>RD169</t>
  </si>
  <si>
    <t>RD170</t>
  </si>
  <si>
    <t>RD171</t>
  </si>
  <si>
    <t>RD172</t>
  </si>
  <si>
    <t>RD173</t>
  </si>
  <si>
    <t>RD174</t>
  </si>
  <si>
    <t>RD175</t>
  </si>
  <si>
    <t>RD176</t>
  </si>
  <si>
    <t>RD177</t>
  </si>
  <si>
    <t>RD178</t>
  </si>
  <si>
    <t>RD179</t>
  </si>
  <si>
    <t>RD180</t>
  </si>
  <si>
    <t>RD181</t>
  </si>
  <si>
    <t>RD182</t>
  </si>
  <si>
    <t>RD183</t>
  </si>
  <si>
    <t>RD184</t>
  </si>
  <si>
    <t>RD185</t>
  </si>
  <si>
    <t>RD186</t>
  </si>
  <si>
    <t>RD187</t>
  </si>
  <si>
    <t>RD188</t>
  </si>
  <si>
    <t>RD189</t>
  </si>
  <si>
    <t>RD190</t>
  </si>
  <si>
    <t>RD191</t>
  </si>
  <si>
    <t>RD192</t>
  </si>
  <si>
    <t>RD193</t>
  </si>
  <si>
    <t>RD194</t>
  </si>
  <si>
    <t>RD195</t>
  </si>
  <si>
    <t>RD196</t>
  </si>
  <si>
    <t>RD197</t>
  </si>
  <si>
    <t>RD198</t>
  </si>
  <si>
    <t>RD199</t>
  </si>
  <si>
    <t>RD200</t>
  </si>
  <si>
    <t>RD201</t>
  </si>
  <si>
    <t>RD202</t>
  </si>
  <si>
    <t>RD203</t>
  </si>
  <si>
    <t>RD204</t>
  </si>
  <si>
    <t>RD205</t>
  </si>
  <si>
    <t>RD206</t>
  </si>
  <si>
    <t>RD207</t>
  </si>
  <si>
    <t>RD208</t>
  </si>
  <si>
    <t>RD209</t>
  </si>
  <si>
    <t>RD210</t>
  </si>
  <si>
    <t>RD211</t>
  </si>
  <si>
    <t>RD212</t>
  </si>
  <si>
    <t>RD213</t>
  </si>
  <si>
    <t>RD214</t>
  </si>
  <si>
    <t>RD215</t>
  </si>
  <si>
    <t>RD216</t>
  </si>
  <si>
    <t>RD217</t>
  </si>
  <si>
    <t>RD218</t>
  </si>
  <si>
    <t>RD219</t>
  </si>
  <si>
    <t>RD220</t>
  </si>
  <si>
    <t>RD221</t>
  </si>
  <si>
    <t>RD222</t>
  </si>
  <si>
    <t>RD223</t>
  </si>
  <si>
    <t>RD224</t>
  </si>
  <si>
    <t>RD225</t>
  </si>
  <si>
    <t>RD226</t>
  </si>
  <si>
    <t>RD227</t>
  </si>
  <si>
    <t>RD228</t>
  </si>
  <si>
    <t>RD229</t>
  </si>
  <si>
    <t>RD230</t>
  </si>
  <si>
    <t>RD231</t>
  </si>
  <si>
    <t>RD232</t>
  </si>
  <si>
    <t>RD233</t>
  </si>
  <si>
    <t>RD234</t>
  </si>
  <si>
    <t>RD235</t>
  </si>
  <si>
    <t>RD236</t>
  </si>
  <si>
    <t>RD237</t>
  </si>
  <si>
    <t>RD238</t>
  </si>
  <si>
    <t>RD239</t>
  </si>
  <si>
    <t>RD240</t>
  </si>
  <si>
    <t>RD241</t>
  </si>
  <si>
    <t>RD242</t>
  </si>
  <si>
    <t>RD243</t>
  </si>
  <si>
    <t>RD244</t>
  </si>
  <si>
    <t>RD245</t>
  </si>
  <si>
    <t>RD246</t>
  </si>
  <si>
    <t>RD247</t>
  </si>
  <si>
    <t>RD248</t>
  </si>
  <si>
    <t>RD249</t>
  </si>
  <si>
    <t>SM001</t>
  </si>
  <si>
    <t>SM002</t>
  </si>
  <si>
    <t>SM003</t>
  </si>
  <si>
    <t>SM004</t>
  </si>
  <si>
    <t>SM005</t>
  </si>
  <si>
    <t>SM006</t>
  </si>
  <si>
    <t>SM007</t>
  </si>
  <si>
    <t>SM008</t>
  </si>
  <si>
    <t>SM009</t>
  </si>
  <si>
    <t>SM010</t>
  </si>
  <si>
    <t>SM011</t>
  </si>
  <si>
    <t>SM012</t>
  </si>
  <si>
    <t>SM013</t>
  </si>
  <si>
    <t>SM014</t>
  </si>
  <si>
    <t>SM015</t>
  </si>
  <si>
    <t>SM016</t>
  </si>
  <si>
    <t>SM017</t>
  </si>
  <si>
    <t>SM018</t>
  </si>
  <si>
    <t>SM019</t>
  </si>
  <si>
    <t>SM020</t>
  </si>
  <si>
    <t>SM021</t>
  </si>
  <si>
    <t>SM022</t>
  </si>
  <si>
    <t>SM023</t>
  </si>
  <si>
    <t>SM024</t>
  </si>
  <si>
    <t>SM025</t>
  </si>
  <si>
    <t>SM026</t>
  </si>
  <si>
    <t>SM027</t>
  </si>
  <si>
    <t>SM028</t>
  </si>
  <si>
    <t>SM029</t>
  </si>
  <si>
    <t>SM030</t>
  </si>
  <si>
    <t>SM031</t>
  </si>
  <si>
    <t>SM032</t>
  </si>
  <si>
    <t>SM033</t>
  </si>
  <si>
    <t>SM034</t>
  </si>
  <si>
    <t>SM035</t>
  </si>
  <si>
    <t>SM036</t>
  </si>
  <si>
    <t>SM037</t>
  </si>
  <si>
    <t>SM038</t>
  </si>
  <si>
    <t>SM039</t>
  </si>
  <si>
    <t>SM040</t>
  </si>
  <si>
    <t>SM041</t>
  </si>
  <si>
    <t>SM042</t>
  </si>
  <si>
    <t>SM043</t>
  </si>
  <si>
    <t>SM044</t>
  </si>
  <si>
    <t>SM045</t>
  </si>
  <si>
    <t>SM046</t>
  </si>
  <si>
    <t>SM047</t>
  </si>
  <si>
    <t>SM048</t>
  </si>
  <si>
    <t>SM049</t>
  </si>
  <si>
    <t>SM050</t>
  </si>
  <si>
    <t>SM051</t>
  </si>
  <si>
    <t>SM052</t>
  </si>
  <si>
    <t>SM053</t>
  </si>
  <si>
    <t>SM054</t>
  </si>
  <si>
    <t>SM055</t>
  </si>
  <si>
    <t>SM056</t>
  </si>
  <si>
    <t>SM057</t>
  </si>
  <si>
    <t>SM058</t>
  </si>
  <si>
    <t>SM059</t>
  </si>
  <si>
    <t>SM060</t>
  </si>
  <si>
    <t>SM061</t>
  </si>
  <si>
    <t>SM062</t>
  </si>
  <si>
    <t>SM063</t>
  </si>
  <si>
    <t>SM064</t>
  </si>
  <si>
    <t>SM065</t>
  </si>
  <si>
    <t>SM066</t>
  </si>
  <si>
    <t>SM067</t>
  </si>
  <si>
    <t>SM068</t>
  </si>
  <si>
    <t>SM069</t>
  </si>
  <si>
    <t>SM070</t>
  </si>
  <si>
    <t>SM071</t>
  </si>
  <si>
    <t>SM072</t>
  </si>
  <si>
    <t>SM073</t>
  </si>
  <si>
    <t>SM074</t>
  </si>
  <si>
    <t>SM075</t>
  </si>
  <si>
    <t>SM076</t>
  </si>
  <si>
    <t>SM077</t>
  </si>
  <si>
    <t>SM078</t>
  </si>
  <si>
    <t>SM079</t>
  </si>
  <si>
    <t>SM080</t>
  </si>
  <si>
    <t>SM081</t>
  </si>
  <si>
    <t>SM082</t>
  </si>
  <si>
    <t>SM083</t>
  </si>
  <si>
    <t>SM084</t>
  </si>
  <si>
    <t>SM085</t>
  </si>
  <si>
    <t>SM086</t>
  </si>
  <si>
    <t>SM087</t>
  </si>
  <si>
    <t>SM088</t>
  </si>
  <si>
    <t>SM089</t>
  </si>
  <si>
    <t>SM090</t>
  </si>
  <si>
    <t>SM091</t>
  </si>
  <si>
    <t>SM092</t>
  </si>
  <si>
    <t>SM093</t>
  </si>
  <si>
    <t>SM094</t>
  </si>
  <si>
    <t>SM095</t>
  </si>
  <si>
    <t>SM096</t>
  </si>
  <si>
    <t>SM097</t>
  </si>
  <si>
    <t>SM098</t>
  </si>
  <si>
    <t>SM099</t>
  </si>
  <si>
    <t>SM100</t>
  </si>
  <si>
    <t>SM101</t>
  </si>
  <si>
    <t>SM102</t>
  </si>
  <si>
    <t>SM103</t>
  </si>
  <si>
    <t>SM104</t>
  </si>
  <si>
    <t>SM105</t>
  </si>
  <si>
    <t>SM106</t>
  </si>
  <si>
    <t>SM107</t>
  </si>
  <si>
    <t>SM108</t>
  </si>
  <si>
    <t>SM109</t>
  </si>
  <si>
    <t>SM110</t>
  </si>
  <si>
    <t>SM111</t>
  </si>
  <si>
    <t>SM112</t>
  </si>
  <si>
    <t>SM113</t>
  </si>
  <si>
    <t>SM114</t>
  </si>
  <si>
    <t>SM115</t>
  </si>
  <si>
    <t>SM116</t>
  </si>
  <si>
    <t>SM117</t>
  </si>
  <si>
    <t>SM118</t>
  </si>
  <si>
    <t>SM119</t>
  </si>
  <si>
    <t>SM120</t>
  </si>
  <si>
    <t>SM121</t>
  </si>
  <si>
    <t>SM122</t>
  </si>
  <si>
    <t>SM123</t>
  </si>
  <si>
    <t>SM124</t>
  </si>
  <si>
    <t>SM125</t>
  </si>
  <si>
    <t>SM126</t>
  </si>
  <si>
    <t>SM127</t>
  </si>
  <si>
    <t>SM128</t>
  </si>
  <si>
    <t>SM129</t>
  </si>
  <si>
    <t>SM130</t>
  </si>
  <si>
    <t>SM131</t>
  </si>
  <si>
    <t>SM132</t>
  </si>
  <si>
    <t>SM133</t>
  </si>
  <si>
    <t>SM134</t>
  </si>
  <si>
    <t>SM135</t>
  </si>
  <si>
    <t>SM136</t>
  </si>
  <si>
    <t>SM137</t>
  </si>
  <si>
    <t>SM138</t>
  </si>
  <si>
    <t>SM139</t>
  </si>
  <si>
    <t>SM140</t>
  </si>
  <si>
    <t>SM141</t>
  </si>
  <si>
    <t>SM142</t>
  </si>
  <si>
    <t>SM143</t>
  </si>
  <si>
    <t>SM144</t>
  </si>
  <si>
    <t>SM145</t>
  </si>
  <si>
    <t>SM146</t>
  </si>
  <si>
    <t>SM147</t>
  </si>
  <si>
    <t>SM148</t>
  </si>
  <si>
    <t>SM149</t>
  </si>
  <si>
    <t>SM150</t>
  </si>
  <si>
    <t>SM151</t>
  </si>
  <si>
    <t>SM152</t>
  </si>
  <si>
    <t>SM153</t>
  </si>
  <si>
    <t>SM154</t>
  </si>
  <si>
    <t>SM155</t>
  </si>
  <si>
    <t>SM156</t>
  </si>
  <si>
    <t>SM157</t>
  </si>
  <si>
    <t>SM158</t>
  </si>
  <si>
    <t>SM159</t>
  </si>
  <si>
    <t>SM160</t>
  </si>
  <si>
    <t>SM161</t>
  </si>
  <si>
    <t>SM162</t>
  </si>
  <si>
    <t>SM163</t>
  </si>
  <si>
    <t>SM164</t>
  </si>
  <si>
    <t>SM165</t>
  </si>
  <si>
    <t>SM166</t>
  </si>
  <si>
    <t>SM167</t>
  </si>
  <si>
    <t>SM168</t>
  </si>
  <si>
    <t>SM169</t>
  </si>
  <si>
    <t>SM170</t>
  </si>
  <si>
    <t>SM171</t>
  </si>
  <si>
    <t>SM172</t>
  </si>
  <si>
    <t>SM173</t>
  </si>
  <si>
    <t>SM174</t>
  </si>
  <si>
    <t>SM175</t>
  </si>
  <si>
    <t>SM176</t>
  </si>
  <si>
    <t>SM177</t>
  </si>
  <si>
    <t>SM178</t>
  </si>
  <si>
    <t>SM179</t>
  </si>
  <si>
    <t>SM180</t>
  </si>
  <si>
    <t>SM181</t>
  </si>
  <si>
    <t>SM182</t>
  </si>
  <si>
    <t>SM183</t>
  </si>
  <si>
    <t>SM184</t>
  </si>
  <si>
    <t>SM185</t>
  </si>
  <si>
    <t>SM186</t>
  </si>
  <si>
    <t>SM187</t>
  </si>
  <si>
    <t>SM188</t>
  </si>
  <si>
    <t>SM189</t>
  </si>
  <si>
    <t>SM190</t>
  </si>
  <si>
    <t>SM191</t>
  </si>
  <si>
    <t>SM192</t>
  </si>
  <si>
    <t>SM193</t>
  </si>
  <si>
    <t>SM194</t>
  </si>
  <si>
    <t>SM195</t>
  </si>
  <si>
    <t>SM196</t>
  </si>
  <si>
    <t>SM197</t>
  </si>
  <si>
    <t>SM198</t>
  </si>
  <si>
    <t>SM199</t>
  </si>
  <si>
    <t>SM200</t>
  </si>
  <si>
    <t>SM201</t>
  </si>
  <si>
    <t>SM202</t>
  </si>
  <si>
    <t>SM203</t>
  </si>
  <si>
    <t>SM204</t>
  </si>
  <si>
    <t>SM205</t>
  </si>
  <si>
    <t>SM206</t>
  </si>
  <si>
    <t>SM207</t>
  </si>
  <si>
    <t>SM208</t>
  </si>
  <si>
    <t>SM209</t>
  </si>
  <si>
    <t>SM210</t>
  </si>
  <si>
    <t>SM211</t>
  </si>
  <si>
    <t>SM212</t>
  </si>
  <si>
    <t>SM213</t>
  </si>
  <si>
    <t>SM214</t>
  </si>
  <si>
    <t>SM215</t>
  </si>
  <si>
    <t>SM216</t>
  </si>
  <si>
    <t>SM217</t>
  </si>
  <si>
    <t>SM218</t>
  </si>
  <si>
    <t>SM219</t>
  </si>
  <si>
    <t>SM220</t>
  </si>
  <si>
    <t>SM221</t>
  </si>
  <si>
    <t>SM222</t>
  </si>
  <si>
    <t>SM223</t>
  </si>
  <si>
    <t>SM224</t>
  </si>
  <si>
    <t>SM225</t>
  </si>
  <si>
    <t>SM226</t>
  </si>
  <si>
    <t>SM227</t>
  </si>
  <si>
    <t>SM228</t>
  </si>
  <si>
    <t>SM229</t>
  </si>
  <si>
    <t>SM230</t>
  </si>
  <si>
    <t>SM231</t>
  </si>
  <si>
    <t>SM232</t>
  </si>
  <si>
    <t>SM233</t>
  </si>
  <si>
    <t>SM234</t>
  </si>
  <si>
    <t>SM235</t>
  </si>
  <si>
    <t>SM236</t>
  </si>
  <si>
    <t>SM237</t>
  </si>
  <si>
    <t>SM238</t>
  </si>
  <si>
    <t>SM239</t>
  </si>
  <si>
    <t>SM240</t>
  </si>
  <si>
    <t>SM241</t>
  </si>
  <si>
    <t>SM242</t>
  </si>
  <si>
    <t>SM243</t>
  </si>
  <si>
    <t>SM244</t>
  </si>
  <si>
    <t>SM245</t>
  </si>
  <si>
    <t>SM246</t>
  </si>
  <si>
    <t>SM247</t>
  </si>
  <si>
    <t>SM248</t>
  </si>
  <si>
    <t>SM249</t>
  </si>
  <si>
    <t>WM001</t>
  </si>
  <si>
    <t>WM002</t>
  </si>
  <si>
    <t>WM003</t>
  </si>
  <si>
    <t>WM004</t>
  </si>
  <si>
    <t>WM005</t>
  </si>
  <si>
    <t>WM006</t>
  </si>
  <si>
    <t>WM007</t>
  </si>
  <si>
    <t>WM008</t>
  </si>
  <si>
    <t>WM009</t>
  </si>
  <si>
    <t>WM010</t>
  </si>
  <si>
    <t>WM011</t>
  </si>
  <si>
    <t>WM012</t>
  </si>
  <si>
    <t>WM013</t>
  </si>
  <si>
    <t>WM014</t>
  </si>
  <si>
    <t>WM015</t>
  </si>
  <si>
    <t>WM016</t>
  </si>
  <si>
    <t>WM017</t>
  </si>
  <si>
    <t>WM018</t>
  </si>
  <si>
    <t>WM019</t>
  </si>
  <si>
    <t>WM020</t>
  </si>
  <si>
    <t>WM021</t>
  </si>
  <si>
    <t>WM022</t>
  </si>
  <si>
    <t>WM023</t>
  </si>
  <si>
    <t>WM024</t>
  </si>
  <si>
    <t>WM025</t>
  </si>
  <si>
    <t>WM026</t>
  </si>
  <si>
    <t>WM027</t>
  </si>
  <si>
    <t>WM028</t>
  </si>
  <si>
    <t>WM029</t>
  </si>
  <si>
    <t>WM030</t>
  </si>
  <si>
    <t>WM031</t>
  </si>
  <si>
    <t>WM032</t>
  </si>
  <si>
    <t>WM033</t>
  </si>
  <si>
    <t>WM034</t>
  </si>
  <si>
    <t>WM035</t>
  </si>
  <si>
    <t>WM036</t>
  </si>
  <si>
    <t>WM037</t>
  </si>
  <si>
    <t>WM038</t>
  </si>
  <si>
    <t>WM039</t>
  </si>
  <si>
    <t>WM040</t>
  </si>
  <si>
    <t>WM041</t>
  </si>
  <si>
    <t>WM042</t>
  </si>
  <si>
    <t>WM043</t>
  </si>
  <si>
    <t>WM044</t>
  </si>
  <si>
    <t>WM045</t>
  </si>
  <si>
    <t>WM046</t>
  </si>
  <si>
    <t>WM047</t>
  </si>
  <si>
    <t>WM048</t>
  </si>
  <si>
    <t>WM049</t>
  </si>
  <si>
    <t>WM050</t>
  </si>
  <si>
    <t>WM051</t>
  </si>
  <si>
    <t>WM052</t>
  </si>
  <si>
    <t>WM053</t>
  </si>
  <si>
    <t>WM054</t>
  </si>
  <si>
    <t>WM055</t>
  </si>
  <si>
    <t>WM056</t>
  </si>
  <si>
    <t>WM057</t>
  </si>
  <si>
    <t>WM058</t>
  </si>
  <si>
    <t>WM059</t>
  </si>
  <si>
    <t>WM060</t>
  </si>
  <si>
    <t>WM061</t>
  </si>
  <si>
    <t>WM062</t>
  </si>
  <si>
    <t>WM063</t>
  </si>
  <si>
    <t>WM064</t>
  </si>
  <si>
    <t>WM065</t>
  </si>
  <si>
    <t>WM066</t>
  </si>
  <si>
    <t>WM067</t>
  </si>
  <si>
    <t>WM068</t>
  </si>
  <si>
    <t>WM069</t>
  </si>
  <si>
    <t>WM070</t>
  </si>
  <si>
    <t>WM071</t>
  </si>
  <si>
    <t>WM072</t>
  </si>
  <si>
    <t>WM073</t>
  </si>
  <si>
    <t>WM074</t>
  </si>
  <si>
    <t>WM075</t>
  </si>
  <si>
    <t>WM076</t>
  </si>
  <si>
    <t>WM077</t>
  </si>
  <si>
    <t>WM078</t>
  </si>
  <si>
    <t>WM079</t>
  </si>
  <si>
    <t>WM080</t>
  </si>
  <si>
    <t>WM081</t>
  </si>
  <si>
    <t>WM082</t>
  </si>
  <si>
    <t>WM083</t>
  </si>
  <si>
    <t>WM084</t>
  </si>
  <si>
    <t>WM085</t>
  </si>
  <si>
    <t>WM086</t>
  </si>
  <si>
    <t>WM087</t>
  </si>
  <si>
    <t>WM088</t>
  </si>
  <si>
    <t>WM089</t>
  </si>
  <si>
    <t>WM090</t>
  </si>
  <si>
    <t>WM091</t>
  </si>
  <si>
    <t>WM092</t>
  </si>
  <si>
    <t>WM093</t>
  </si>
  <si>
    <t>WM094</t>
  </si>
  <si>
    <t>WM095</t>
  </si>
  <si>
    <t>WM096</t>
  </si>
  <si>
    <t>WM097</t>
  </si>
  <si>
    <t>WM098</t>
  </si>
  <si>
    <t>WM099</t>
  </si>
  <si>
    <t>WM100</t>
  </si>
  <si>
    <t>WM101</t>
  </si>
  <si>
    <t>WM102</t>
  </si>
  <si>
    <t>WM103</t>
  </si>
  <si>
    <t>WM104</t>
  </si>
  <si>
    <t>WM105</t>
  </si>
  <si>
    <t>WM106</t>
  </si>
  <si>
    <t>WM107</t>
  </si>
  <si>
    <t>WM108</t>
  </si>
  <si>
    <t>WM109</t>
  </si>
  <si>
    <t>WM110</t>
  </si>
  <si>
    <t>WM111</t>
  </si>
  <si>
    <t>WM112</t>
  </si>
  <si>
    <t>WM113</t>
  </si>
  <si>
    <t>WM114</t>
  </si>
  <si>
    <t>WM115</t>
  </si>
  <si>
    <t>WM116</t>
  </si>
  <si>
    <t>WM117</t>
  </si>
  <si>
    <t>WM118</t>
  </si>
  <si>
    <t>WM119</t>
  </si>
  <si>
    <t>WM120</t>
  </si>
  <si>
    <t>WM121</t>
  </si>
  <si>
    <t>WM122</t>
  </si>
  <si>
    <t>WM123</t>
  </si>
  <si>
    <t>WM124</t>
  </si>
  <si>
    <t>WM125</t>
  </si>
  <si>
    <t>WM126</t>
  </si>
  <si>
    <t>WM127</t>
  </si>
  <si>
    <t>WM128</t>
  </si>
  <si>
    <t>WM129</t>
  </si>
  <si>
    <t>WM130</t>
  </si>
  <si>
    <t>WM131</t>
  </si>
  <si>
    <t>WM132</t>
  </si>
  <si>
    <t>WM133</t>
  </si>
  <si>
    <t>WM134</t>
  </si>
  <si>
    <t>WM135</t>
  </si>
  <si>
    <t>WM136</t>
  </si>
  <si>
    <t>WM137</t>
  </si>
  <si>
    <t>WM138</t>
  </si>
  <si>
    <t>WM139</t>
  </si>
  <si>
    <t>WM140</t>
  </si>
  <si>
    <t>WM141</t>
  </si>
  <si>
    <t>WM142</t>
  </si>
  <si>
    <t>WM143</t>
  </si>
  <si>
    <t>WM144</t>
  </si>
  <si>
    <t>WM145</t>
  </si>
  <si>
    <t>WM146</t>
  </si>
  <si>
    <t>WM147</t>
  </si>
  <si>
    <t>WM148</t>
  </si>
  <si>
    <t>WM149</t>
  </si>
  <si>
    <t>WM150</t>
  </si>
  <si>
    <t>WM151</t>
  </si>
  <si>
    <t>WM152</t>
  </si>
  <si>
    <t>WM153</t>
  </si>
  <si>
    <t>WM154</t>
  </si>
  <si>
    <t>WM155</t>
  </si>
  <si>
    <t>WM156</t>
  </si>
  <si>
    <t>WM157</t>
  </si>
  <si>
    <t>WM158</t>
  </si>
  <si>
    <t>WM159</t>
  </si>
  <si>
    <t>WM160</t>
  </si>
  <si>
    <t>WM161</t>
  </si>
  <si>
    <t>WM162</t>
  </si>
  <si>
    <t>WM163</t>
  </si>
  <si>
    <t>WM164</t>
  </si>
  <si>
    <t>WM165</t>
  </si>
  <si>
    <t>WM166</t>
  </si>
  <si>
    <t>WM167</t>
  </si>
  <si>
    <t>WM168</t>
  </si>
  <si>
    <t>WM169</t>
  </si>
  <si>
    <t>WM170</t>
  </si>
  <si>
    <t>WM171</t>
  </si>
  <si>
    <t>WM172</t>
  </si>
  <si>
    <t>WM173</t>
  </si>
  <si>
    <t>WM174</t>
  </si>
  <si>
    <t>WM175</t>
  </si>
  <si>
    <t>WM176</t>
  </si>
  <si>
    <t>WM177</t>
  </si>
  <si>
    <t>WM178</t>
  </si>
  <si>
    <t>WM179</t>
  </si>
  <si>
    <t>WM180</t>
  </si>
  <si>
    <t>WM181</t>
  </si>
  <si>
    <t>WM182</t>
  </si>
  <si>
    <t>WM183</t>
  </si>
  <si>
    <t>WM184</t>
  </si>
  <si>
    <t>WM185</t>
  </si>
  <si>
    <t>WM186</t>
  </si>
  <si>
    <t>WM187</t>
  </si>
  <si>
    <t>WM188</t>
  </si>
  <si>
    <t>WM189</t>
  </si>
  <si>
    <t>WM190</t>
  </si>
  <si>
    <t>WM191</t>
  </si>
  <si>
    <t>WM192</t>
  </si>
  <si>
    <t>WM193</t>
  </si>
  <si>
    <t>WM194</t>
  </si>
  <si>
    <t>WM195</t>
  </si>
  <si>
    <t>WM196</t>
  </si>
  <si>
    <t>WM197</t>
  </si>
  <si>
    <t>WM198</t>
  </si>
  <si>
    <t>WM199</t>
  </si>
  <si>
    <t>WM200</t>
  </si>
  <si>
    <t>WM201</t>
  </si>
  <si>
    <t>WM202</t>
  </si>
  <si>
    <t>WM203</t>
  </si>
  <si>
    <t>WM204</t>
  </si>
  <si>
    <t>WM205</t>
  </si>
  <si>
    <t>WM206</t>
  </si>
  <si>
    <t>WM207</t>
  </si>
  <si>
    <t>WM208</t>
  </si>
  <si>
    <t>WM209</t>
  </si>
  <si>
    <t>WM210</t>
  </si>
  <si>
    <t>WM211</t>
  </si>
  <si>
    <t>WM212</t>
  </si>
  <si>
    <t>WM213</t>
  </si>
  <si>
    <t>WM214</t>
  </si>
  <si>
    <t>WM215</t>
  </si>
  <si>
    <t>WM216</t>
  </si>
  <si>
    <t>WM217</t>
  </si>
  <si>
    <t>WM218</t>
  </si>
  <si>
    <t>WM219</t>
  </si>
  <si>
    <t>WM220</t>
  </si>
  <si>
    <t>WM221</t>
  </si>
  <si>
    <t>WM222</t>
  </si>
  <si>
    <t>WM223</t>
  </si>
  <si>
    <t>WM224</t>
  </si>
  <si>
    <t>WM225</t>
  </si>
  <si>
    <t>WM226</t>
  </si>
  <si>
    <t>WM227</t>
  </si>
  <si>
    <t>WM228</t>
  </si>
  <si>
    <t>WM229</t>
  </si>
  <si>
    <t>WM230</t>
  </si>
  <si>
    <t>WM231</t>
  </si>
  <si>
    <t>WM232</t>
  </si>
  <si>
    <t>WM233</t>
  </si>
  <si>
    <t>WM234</t>
  </si>
  <si>
    <t>WM235</t>
  </si>
  <si>
    <t>WM236</t>
  </si>
  <si>
    <t>WM237</t>
  </si>
  <si>
    <t>WM238</t>
  </si>
  <si>
    <t>WM239</t>
  </si>
  <si>
    <t>WM240</t>
  </si>
  <si>
    <t>WM241</t>
  </si>
  <si>
    <t>WM242</t>
  </si>
  <si>
    <t>WM243</t>
  </si>
  <si>
    <t>WM244</t>
  </si>
  <si>
    <t>WM245</t>
  </si>
  <si>
    <t>WM246</t>
  </si>
  <si>
    <t>WM247</t>
  </si>
  <si>
    <t>WM248</t>
  </si>
  <si>
    <t>WM249</t>
  </si>
  <si>
    <r>
      <rPr>
        <sz val="11"/>
        <color theme="1"/>
        <rFont val="Calibri"/>
        <family val="2"/>
        <scheme val="minor"/>
      </rPr>
      <t>Transfert à la réserve pour le remplacement de l’équipement</t>
    </r>
  </si>
  <si>
    <r>
      <rPr>
        <sz val="11"/>
        <color theme="1"/>
        <rFont val="Calibri"/>
        <family val="2"/>
        <scheme val="minor"/>
      </rPr>
      <t>Dépenses en immobilisations financées directement par les services publics</t>
    </r>
  </si>
  <si>
    <t>Coûts de remplacement</t>
  </si>
  <si>
    <t>Financement durable (simplifié)</t>
  </si>
  <si>
    <t>Financement durable (versement)</t>
  </si>
  <si>
    <t>Financement réel</t>
  </si>
  <si>
    <t>Écart de financement annuel</t>
  </si>
  <si>
    <t>Coûts de remplacement</t>
  </si>
  <si>
    <t>Financement durable (simplifié)</t>
  </si>
  <si>
    <t>Financement durable (versement)</t>
  </si>
  <si>
    <t>Financement réel</t>
  </si>
  <si>
    <t>Écart de financement annuel</t>
  </si>
  <si>
    <t>-20 %</t>
  </si>
  <si>
    <t>-10 %</t>
  </si>
  <si>
    <t>+10 %</t>
  </si>
  <si>
    <t>+20 %</t>
  </si>
  <si>
    <r>
      <rPr>
        <sz val="11"/>
        <color theme="1"/>
        <rFont val="Calibri"/>
        <family val="2"/>
        <scheme val="minor"/>
      </rPr>
      <t>Écart de financement annuel</t>
    </r>
  </si>
  <si>
    <r>
      <rPr>
        <sz val="11"/>
        <color theme="1"/>
        <rFont val="Calibri"/>
        <family val="2"/>
        <scheme val="minor"/>
      </rPr>
      <t>Réserves prévues</t>
    </r>
  </si>
  <si>
    <r>
      <rPr>
        <sz val="11"/>
        <color theme="1"/>
        <rFont val="Calibri"/>
        <family val="2"/>
        <scheme val="minor"/>
      </rPr>
      <t>Solde d’ouverture</t>
    </r>
  </si>
  <si>
    <r>
      <rPr>
        <sz val="11"/>
        <color theme="1"/>
        <rFont val="Calibri"/>
        <family val="2"/>
        <scheme val="minor"/>
      </rPr>
      <t>Plus : Contributions</t>
    </r>
  </si>
  <si>
    <r>
      <rPr>
        <sz val="11"/>
        <color theme="1"/>
        <rFont val="Calibri"/>
        <family val="2"/>
        <scheme val="minor"/>
      </rPr>
      <t>Moins : Dépenses</t>
    </r>
  </si>
  <si>
    <r>
      <rPr>
        <sz val="11"/>
        <color theme="1"/>
        <rFont val="Calibri"/>
        <family val="2"/>
        <scheme val="minor"/>
      </rPr>
      <t>Solde de fermeture</t>
    </r>
  </si>
  <si>
    <t>Financement durable (simplifié)</t>
  </si>
  <si>
    <t>Financement durable (versement)</t>
  </si>
  <si>
    <r>
      <rPr>
        <sz val="11"/>
        <color theme="1"/>
        <rFont val="Calibri"/>
        <family val="2"/>
        <scheme val="minor"/>
      </rPr>
      <t>Utilisation (%)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</si>
  <si>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</si>
  <si>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600 Boulder Cres.</t>
    </r>
  </si>
  <si>
    <t>Nom de l’actif</t>
  </si>
  <si>
    <t>Description des bâtiments</t>
  </si>
  <si>
    <t>Emplacement</t>
  </si>
  <si>
    <t>Valeur estimée</t>
  </si>
  <si>
    <t>Durée de vie physique</t>
  </si>
  <si>
    <t>Durée de vie utile</t>
  </si>
  <si>
    <t>Financement durable (simplifié)</t>
  </si>
  <si>
    <t>Financement durable (versement)</t>
  </si>
  <si>
    <t>Âge</t>
  </si>
  <si>
    <r>
      <rPr>
        <sz val="11"/>
        <color theme="1"/>
        <rFont val="Calibri"/>
        <family val="2"/>
        <scheme val="minor"/>
      </rPr>
      <t>Utilisation (%)</t>
    </r>
  </si>
  <si>
    <t>Utilisation ($)</t>
  </si>
  <si>
    <t>Valeur restante</t>
  </si>
  <si>
    <t>B0001</t>
  </si>
  <si>
    <t>Salle communautaire</t>
  </si>
  <si>
    <t>B0001</t>
  </si>
  <si>
    <t>1001 Main St.</t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</si>
  <si>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</si>
  <si>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</si>
  <si>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</si>
  <si>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</si>
  <si>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</si>
  <si>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</si>
  <si>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</si>
  <si>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</si>
  <si>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</si>
  <si>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</si>
  <si>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B0001</t>
    </r>
  </si>
  <si>
    <r>
      <rPr>
        <sz val="11"/>
        <color theme="1"/>
        <rFont val="Calibri"/>
        <family val="2"/>
        <scheme val="minor"/>
      </rPr>
      <t>1001 Main St.</t>
    </r>
  </si>
  <si>
    <t>B0002</t>
  </si>
  <si>
    <t>Poste de police</t>
  </si>
  <si>
    <t>B0002</t>
  </si>
  <si>
    <t>911 Captive Rd.</t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</si>
  <si>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</si>
  <si>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</si>
  <si>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</si>
  <si>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</si>
  <si>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</si>
  <si>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</si>
  <si>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</si>
  <si>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</si>
  <si>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</si>
  <si>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</si>
  <si>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</si>
  <si>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</si>
  <si>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</si>
  <si>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</si>
  <si>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</si>
  <si>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B0002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</si>
  <si>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</si>
  <si>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911 Captive Rd.</t>
    </r>
  </si>
  <si>
    <t>B0003</t>
  </si>
  <si>
    <t>Caserne de pompiers</t>
  </si>
  <si>
    <t>B0003</t>
  </si>
  <si>
    <t>25 CatinTree Blvd</t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</si>
  <si>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</si>
  <si>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</si>
  <si>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</si>
  <si>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</si>
  <si>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</si>
  <si>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</si>
  <si>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</si>
  <si>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</si>
  <si>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</si>
  <si>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</si>
  <si>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</si>
  <si>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</si>
  <si>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</si>
  <si>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</si>
  <si>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</si>
  <si>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B0003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</si>
  <si>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</si>
  <si>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25 CatinTree Blvd</t>
    </r>
  </si>
  <si>
    <t>B0004</t>
  </si>
  <si>
    <t>Centre de loisirs</t>
  </si>
  <si>
    <t>B0004</t>
  </si>
  <si>
    <t>200 Weefun Rd.</t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</si>
  <si>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</si>
  <si>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</si>
  <si>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</si>
  <si>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</si>
  <si>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</si>
  <si>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</si>
  <si>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</si>
  <si>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</si>
  <si>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</si>
  <si>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</si>
  <si>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</si>
  <si>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</si>
  <si>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</si>
  <si>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</si>
  <si>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</si>
  <si>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B0004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</si>
  <si>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</si>
  <si>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200 Weefun Rd.</t>
    </r>
  </si>
  <si>
    <t>B0005</t>
  </si>
  <si>
    <t>Bibliothèque</t>
  </si>
  <si>
    <t>2003 Reed Close</t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</si>
  <si>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</si>
  <si>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</si>
  <si>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</si>
  <si>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</si>
  <si>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</si>
  <si>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</si>
  <si>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</si>
  <si>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</si>
  <si>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</si>
  <si>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</si>
  <si>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</si>
  <si>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</si>
  <si>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</si>
  <si>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</si>
  <si>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</si>
  <si>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B0005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</si>
  <si>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</si>
  <si>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2003 Reed Close</t>
    </r>
  </si>
  <si>
    <t>B0006</t>
  </si>
  <si>
    <t>Chantier de travaux publics</t>
  </si>
  <si>
    <t>600 Boulder Cres.</t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</si>
  <si>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</si>
  <si>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</si>
  <si>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</si>
  <si>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</si>
  <si>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</si>
  <si>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</si>
  <si>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</si>
  <si>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</si>
  <si>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</si>
  <si>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</si>
  <si>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</si>
  <si>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</si>
  <si>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</si>
  <si>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</si>
  <si>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</si>
  <si>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B0006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</si>
  <si>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</si>
  <si>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600 Boulder Cres.</t>
    </r>
  </si>
  <si>
    <t>B0007</t>
  </si>
  <si>
    <t>Centre communautaire</t>
  </si>
  <si>
    <t>6707 Joiner Rd.</t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</si>
  <si>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</si>
  <si>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</si>
  <si>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</si>
  <si>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</si>
  <si>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</si>
  <si>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</si>
  <si>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</si>
  <si>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</si>
  <si>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</si>
  <si>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</si>
  <si>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</si>
  <si>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</si>
  <si>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</si>
  <si>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</si>
  <si>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</si>
  <si>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B0007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</si>
  <si>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</si>
  <si>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6707 Joiner Rd.</t>
    </r>
  </si>
  <si>
    <t>B0008</t>
  </si>
  <si>
    <t>Hangar de parc</t>
  </si>
  <si>
    <t>2555 Treetop lane</t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</si>
  <si>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</si>
  <si>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</si>
  <si>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</si>
  <si>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</si>
  <si>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</si>
  <si>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</si>
  <si>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</si>
  <si>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</si>
  <si>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</si>
  <si>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</si>
  <si>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</si>
  <si>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</si>
  <si>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</si>
  <si>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</si>
  <si>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</si>
  <si>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B0008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</si>
  <si>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</si>
  <si>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2555 Treetop lane</t>
    </r>
  </si>
  <si>
    <t>B0009</t>
  </si>
  <si>
    <t>Bâtiment de concession</t>
  </si>
  <si>
    <t>345 Diamond Lane.</t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</si>
  <si>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</si>
  <si>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</si>
  <si>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</si>
  <si>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</si>
  <si>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</si>
  <si>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</si>
  <si>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</si>
  <si>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</si>
  <si>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</si>
  <si>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</si>
  <si>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</si>
  <si>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</si>
  <si>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</si>
  <si>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</si>
  <si>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</si>
  <si>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B0009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</si>
  <si>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</si>
  <si>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345 Diamond Lane.</t>
    </r>
  </si>
  <si>
    <t>B0010</t>
  </si>
  <si>
    <t>Entrepôt des travaux publics</t>
  </si>
  <si>
    <t>600 Boulder Cres.</t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</si>
  <si>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</si>
  <si>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</si>
  <si>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</si>
  <si>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</si>
  <si>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</si>
  <si>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</si>
  <si>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</si>
  <si>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</si>
  <si>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</si>
  <si>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</si>
  <si>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</si>
  <si>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</si>
  <si>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</si>
  <si>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</si>
  <si>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</si>
  <si>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B0010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</si>
  <si>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</si>
  <si>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600 Boulder Cres.</t>
    </r>
  </si>
  <si>
    <t>B0011</t>
  </si>
  <si>
    <t>Garage de mécanique automobile</t>
  </si>
  <si>
    <t>600 Boulder Cres.</t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</si>
  <si>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</si>
  <si>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Toit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</si>
  <si>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</si>
  <si>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</si>
  <si>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Systèmes mécaniques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</si>
  <si>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</si>
  <si>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</si>
  <si>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Fenêtres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</si>
  <si>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</si>
  <si>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</si>
  <si>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Portes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</si>
  <si>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</si>
  <si>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</si>
  <si>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Systèmes électriques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</si>
  <si>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</si>
  <si>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B0011</t>
    </r>
  </si>
  <si>
    <r>
      <rPr>
        <sz val="11"/>
        <color theme="1"/>
        <rFont val="Calibri"/>
        <family val="2"/>
        <scheme val="minor"/>
      </rPr>
      <t>Revêtements de sol</t>
    </r>
  </si>
  <si>
    <r>
      <rPr>
        <sz val="11"/>
        <color theme="1"/>
        <rFont val="Calibri"/>
        <family val="2"/>
        <scheme val="minor"/>
      </rPr>
      <t>600 Boulder Cres.</t>
    </r>
  </si>
  <si>
    <t>Nom de l’actif</t>
  </si>
  <si>
    <t>Financement durable (simplifié)</t>
  </si>
  <si>
    <t>Financement durable (versement)</t>
  </si>
  <si>
    <t>Année d’installation</t>
  </si>
  <si>
    <t>Âge</t>
  </si>
  <si>
    <t>Utilisation (%)</t>
  </si>
  <si>
    <t>Utilisation ($)</t>
  </si>
  <si>
    <t>Valeur restante</t>
  </si>
  <si>
    <t>Asphalte</t>
  </si>
  <si>
    <t>Asphalte</t>
  </si>
  <si>
    <t>Aberdene Rd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</si>
  <si>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</si>
  <si>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</si>
  <si>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</si>
  <si>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</si>
  <si>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</si>
  <si>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</si>
  <si>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</si>
  <si>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</si>
  <si>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</si>
  <si>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</si>
  <si>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</si>
  <si>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</si>
  <si>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</si>
  <si>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</si>
  <si>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</si>
  <si>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</si>
  <si>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</si>
  <si>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</si>
  <si>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</si>
  <si>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</si>
  <si>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</si>
  <si>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</si>
  <si>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</si>
  <si>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</si>
  <si>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</si>
  <si>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</si>
  <si>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</si>
  <si>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</si>
  <si>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</si>
  <si>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</si>
  <si>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</si>
  <si>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</si>
  <si>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</si>
  <si>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</si>
  <si>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</si>
  <si>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</si>
  <si>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</si>
  <si>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</si>
  <si>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</si>
  <si>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</si>
  <si>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</si>
  <si>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</si>
  <si>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</si>
  <si>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</si>
  <si>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</si>
  <si>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</si>
  <si>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</si>
  <si>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</si>
  <si>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</si>
  <si>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</si>
  <si>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</si>
  <si>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</si>
  <si>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</si>
  <si>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</si>
  <si>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</si>
  <si>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</si>
  <si>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</si>
  <si>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</si>
  <si>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</si>
  <si>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Voies artérielles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</si>
  <si>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</si>
  <si>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</si>
  <si>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</si>
  <si>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</si>
  <si>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</si>
  <si>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</si>
  <si>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</si>
  <si>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</si>
  <si>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</si>
  <si>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</si>
  <si>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</si>
  <si>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</si>
  <si>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</si>
  <si>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</si>
  <si>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</si>
  <si>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</si>
  <si>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</si>
  <si>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</si>
  <si>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</si>
  <si>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</si>
  <si>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</si>
  <si>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</si>
  <si>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</si>
  <si>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</si>
  <si>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</si>
  <si>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</si>
  <si>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</si>
  <si>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</si>
  <si>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</si>
  <si>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</si>
  <si>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</si>
  <si>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</si>
  <si>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</si>
  <si>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</si>
  <si>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</si>
  <si>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</si>
  <si>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</si>
  <si>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</si>
  <si>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</si>
  <si>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</si>
  <si>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</si>
  <si>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</si>
  <si>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</si>
  <si>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</si>
  <si>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</si>
  <si>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</si>
  <si>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</si>
  <si>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</si>
  <si>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</si>
  <si>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</si>
  <si>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</si>
  <si>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</si>
  <si>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</si>
  <si>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Voies artérielles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</si>
  <si>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</si>
  <si>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</si>
  <si>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</si>
  <si>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</si>
  <si>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</si>
  <si>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</si>
  <si>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</si>
  <si>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</si>
  <si>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</si>
  <si>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</si>
  <si>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</si>
  <si>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</si>
  <si>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</si>
  <si>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</si>
  <si>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</si>
  <si>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</si>
  <si>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</si>
  <si>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</si>
  <si>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</si>
  <si>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Voies artérielles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</si>
  <si>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</si>
  <si>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</si>
  <si>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</si>
  <si>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</si>
  <si>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</si>
  <si>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</si>
  <si>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</si>
  <si>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Voies artérielles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</si>
  <si>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</si>
  <si>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</si>
  <si>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</si>
  <si>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</si>
  <si>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</si>
  <si>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</si>
  <si>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</si>
  <si>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</si>
  <si>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</si>
  <si>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</si>
  <si>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</si>
  <si>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</si>
  <si>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</si>
  <si>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</si>
  <si>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</si>
  <si>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</si>
  <si>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</si>
  <si>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</si>
  <si>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</si>
  <si>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</si>
  <si>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</si>
  <si>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</si>
  <si>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</si>
  <si>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</si>
  <si>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</si>
  <si>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</si>
  <si>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</si>
  <si>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Voies artérielles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</si>
  <si>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</si>
  <si>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</si>
  <si>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</si>
  <si>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</si>
  <si>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</si>
  <si>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</si>
  <si>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</si>
  <si>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</si>
  <si>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</si>
  <si>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</si>
  <si>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</si>
  <si>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</si>
  <si>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</si>
  <si>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</si>
  <si>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</si>
  <si>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</si>
  <si>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</si>
  <si>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</si>
  <si>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</si>
  <si>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</si>
  <si>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</si>
  <si>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</si>
  <si>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</si>
  <si>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Voies artérielles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</si>
  <si>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</si>
  <si>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</si>
  <si>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</si>
  <si>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</si>
  <si>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</si>
  <si>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</si>
  <si>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</si>
  <si>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</si>
  <si>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</si>
  <si>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</si>
  <si>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</si>
  <si>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</si>
  <si>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</si>
  <si>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</si>
  <si>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</si>
  <si>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</si>
  <si>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</si>
  <si>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</si>
  <si>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</si>
  <si>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</si>
  <si>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</si>
  <si>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</si>
  <si>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</si>
  <si>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</si>
  <si>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</si>
  <si>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</si>
  <si>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</si>
  <si>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</si>
  <si>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</si>
  <si>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</si>
  <si>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</si>
  <si>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</si>
  <si>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</si>
  <si>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</si>
  <si>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</si>
  <si>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</si>
  <si>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</si>
  <si>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</si>
  <si>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</si>
  <si>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</si>
  <si>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</si>
  <si>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</si>
  <si>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</si>
  <si>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</si>
  <si>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</si>
  <si>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</si>
  <si>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</si>
  <si>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</si>
  <si>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</si>
  <si>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</si>
  <si>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</si>
  <si>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</si>
  <si>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</si>
  <si>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</si>
  <si>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</si>
  <si>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</si>
  <si>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</si>
  <si>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</si>
  <si>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</si>
  <si>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</si>
  <si>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</si>
  <si>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</si>
  <si>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</si>
  <si>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</si>
  <si>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</si>
  <si>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</si>
  <si>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</si>
  <si>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</si>
  <si>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</si>
  <si>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</si>
  <si>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</si>
  <si>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</si>
  <si>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</si>
  <si>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</si>
  <si>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</si>
  <si>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</si>
  <si>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</si>
  <si>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</si>
  <si>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</si>
  <si>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</si>
  <si>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</si>
  <si>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</si>
  <si>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</si>
  <si>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</si>
  <si>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</si>
  <si>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</si>
  <si>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</si>
  <si>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</si>
  <si>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</si>
  <si>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</si>
  <si>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</si>
  <si>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</si>
  <si>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</si>
  <si>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</si>
  <si>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</si>
  <si>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</si>
  <si>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</si>
  <si>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</si>
  <si>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</si>
  <si>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</si>
  <si>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</si>
  <si>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</si>
  <si>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</si>
  <si>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</si>
  <si>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</si>
  <si>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</si>
  <si>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</si>
  <si>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</si>
  <si>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</si>
  <si>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</si>
  <si>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</si>
  <si>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</si>
  <si>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</si>
  <si>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</si>
  <si>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</si>
  <si>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</si>
  <si>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</si>
  <si>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</si>
  <si>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</si>
  <si>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</si>
  <si>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</si>
  <si>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</si>
  <si>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</si>
  <si>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</si>
  <si>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</si>
  <si>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</si>
  <si>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</si>
  <si>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</si>
  <si>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</si>
  <si>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</si>
  <si>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</si>
  <si>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</si>
  <si>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</si>
  <si>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</si>
  <si>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</si>
  <si>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</si>
  <si>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</si>
  <si>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</si>
  <si>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</si>
  <si>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</si>
  <si>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</si>
  <si>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</si>
  <si>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</si>
  <si>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</si>
  <si>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</si>
  <si>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</si>
  <si>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</si>
  <si>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</si>
  <si>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</si>
  <si>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</si>
  <si>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</si>
  <si>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</si>
  <si>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</si>
  <si>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</si>
  <si>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</si>
  <si>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</si>
  <si>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</si>
  <si>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</si>
  <si>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</si>
  <si>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</si>
  <si>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</si>
  <si>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</si>
  <si>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</si>
  <si>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</si>
  <si>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</si>
  <si>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</si>
  <si>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</si>
  <si>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</si>
  <si>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</si>
  <si>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</si>
  <si>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</si>
  <si>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</si>
  <si>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</si>
  <si>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</si>
  <si>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</si>
  <si>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</si>
  <si>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</si>
  <si>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</si>
  <si>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</si>
  <si>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</si>
  <si>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</si>
  <si>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</si>
  <si>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</si>
  <si>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</si>
  <si>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</si>
  <si>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</si>
  <si>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</si>
  <si>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</si>
  <si>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</si>
  <si>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</si>
  <si>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</si>
  <si>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</si>
  <si>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</si>
  <si>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</si>
  <si>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</si>
  <si>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</si>
  <si>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</si>
  <si>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</si>
  <si>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</si>
  <si>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</si>
  <si>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</si>
  <si>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</si>
  <si>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</si>
  <si>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</si>
  <si>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</si>
  <si>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</si>
  <si>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</si>
  <si>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</si>
  <si>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</si>
  <si>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</si>
  <si>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</si>
  <si>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</si>
  <si>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</si>
  <si>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</si>
  <si>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</si>
  <si>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</si>
  <si>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</si>
  <si>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</si>
  <si>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</si>
  <si>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</si>
  <si>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</si>
  <si>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</si>
  <si>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</si>
  <si>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</si>
  <si>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</si>
  <si>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</si>
  <si>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</si>
  <si>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</si>
  <si>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</si>
  <si>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</si>
  <si>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</si>
  <si>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</si>
  <si>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</si>
  <si>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</si>
  <si>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</si>
  <si>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</si>
  <si>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</si>
  <si>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</si>
  <si>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</si>
  <si>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</si>
  <si>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</si>
  <si>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</si>
  <si>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</si>
  <si>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</si>
  <si>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</si>
  <si>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</si>
  <si>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</si>
  <si>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</si>
  <si>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</si>
  <si>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</si>
  <si>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</si>
  <si>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</si>
  <si>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</si>
  <si>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</si>
  <si>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</si>
  <si>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</si>
  <si>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</si>
  <si>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</si>
  <si>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</si>
  <si>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</si>
  <si>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</si>
  <si>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</si>
  <si>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</si>
  <si>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</si>
  <si>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</si>
  <si>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</si>
  <si>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</si>
  <si>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</si>
  <si>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</si>
  <si>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</si>
  <si>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</si>
  <si>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</si>
  <si>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</si>
  <si>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collectrices</t>
  </si>
  <si>
    <t>Asphalte</t>
  </si>
  <si>
    <t>Routes collectrices</t>
  </si>
  <si>
    <t>Asphalte</t>
  </si>
  <si>
    <t>Routes collectrices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</si>
  <si>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</si>
  <si>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</si>
  <si>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</si>
  <si>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</si>
  <si>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</si>
  <si>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</si>
  <si>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</si>
  <si>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</si>
  <si>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</si>
  <si>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</si>
  <si>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</si>
  <si>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</si>
  <si>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</si>
  <si>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</si>
  <si>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</si>
  <si>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</si>
  <si>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</si>
  <si>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</si>
  <si>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Asphalte</t>
  </si>
  <si>
    <t>Routes locales</t>
  </si>
  <si>
    <t>Nom de l’actif</t>
  </si>
  <si>
    <t>Matériau</t>
  </si>
  <si>
    <t>Longueur (m)</t>
  </si>
  <si>
    <t>Coûts de remplacement</t>
  </si>
  <si>
    <t>Durée de vie physique</t>
  </si>
  <si>
    <t>Durée de vie utile</t>
  </si>
  <si>
    <t>Financement durable (simplifié)</t>
  </si>
  <si>
    <t>Financement durable (versement)</t>
  </si>
  <si>
    <t>Année d’installation</t>
  </si>
  <si>
    <t>Âge</t>
  </si>
  <si>
    <t>Utilisation (%)</t>
  </si>
  <si>
    <t>Utilisation ($)</t>
  </si>
  <si>
    <t>Valeur restante</t>
  </si>
  <si>
    <t>FT</t>
  </si>
  <si>
    <t>GV</t>
  </si>
  <si>
    <t>AC</t>
  </si>
  <si>
    <t>ST</t>
  </si>
  <si>
    <t>AC</t>
  </si>
  <si>
    <t>AC</t>
  </si>
  <si>
    <t>FT</t>
  </si>
  <si>
    <t>GV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</si>
  <si>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</si>
  <si>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</si>
  <si>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</si>
  <si>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</si>
  <si>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</si>
  <si>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</si>
  <si>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</si>
  <si>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</si>
  <si>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</si>
  <si>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</si>
  <si>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</si>
  <si>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</si>
  <si>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</si>
  <si>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</si>
  <si>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</si>
  <si>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</si>
  <si>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</si>
  <si>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</si>
  <si>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</si>
  <si>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</si>
  <si>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</si>
  <si>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</si>
  <si>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</si>
  <si>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</si>
  <si>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</si>
  <si>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</si>
  <si>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</si>
  <si>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</si>
  <si>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</si>
  <si>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</si>
  <si>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</si>
  <si>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</si>
  <si>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</si>
  <si>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</si>
  <si>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</si>
  <si>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</si>
  <si>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</si>
  <si>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</si>
  <si>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GV</t>
  </si>
  <si>
    <t>AC</t>
  </si>
  <si>
    <t>GV</t>
  </si>
  <si>
    <t>AC</t>
  </si>
  <si>
    <t>FT</t>
  </si>
  <si>
    <t>FT</t>
  </si>
  <si>
    <t>ST</t>
  </si>
  <si>
    <t>FT</t>
  </si>
  <si>
    <t>ST</t>
  </si>
  <si>
    <t>FT</t>
  </si>
  <si>
    <t>FT</t>
  </si>
  <si>
    <t>AC</t>
  </si>
  <si>
    <t>AC</t>
  </si>
  <si>
    <t>ST</t>
  </si>
  <si>
    <t>AC</t>
  </si>
  <si>
    <t>FT</t>
  </si>
  <si>
    <t>FT</t>
  </si>
  <si>
    <t>AC</t>
  </si>
  <si>
    <t>FT</t>
  </si>
  <si>
    <t>PVC</t>
  </si>
  <si>
    <t>AC</t>
  </si>
  <si>
    <t>ST</t>
  </si>
  <si>
    <t>ST</t>
  </si>
  <si>
    <t>AC</t>
  </si>
  <si>
    <t>AC</t>
  </si>
  <si>
    <t>AC</t>
  </si>
  <si>
    <t>AC</t>
  </si>
  <si>
    <t>GV</t>
  </si>
  <si>
    <t>PVC</t>
  </si>
  <si>
    <t>FT</t>
  </si>
  <si>
    <t>AC</t>
  </si>
  <si>
    <t>AC</t>
  </si>
  <si>
    <t>ST</t>
  </si>
  <si>
    <t>FT</t>
  </si>
  <si>
    <t>FT</t>
  </si>
  <si>
    <t>AC</t>
  </si>
  <si>
    <t>AC</t>
  </si>
  <si>
    <t>ST</t>
  </si>
  <si>
    <t>AC</t>
  </si>
  <si>
    <t>FT</t>
  </si>
  <si>
    <t>ST</t>
  </si>
  <si>
    <t>FT</t>
  </si>
  <si>
    <t>ST</t>
  </si>
  <si>
    <t>AC</t>
  </si>
  <si>
    <t>FT</t>
  </si>
  <si>
    <t>FT</t>
  </si>
  <si>
    <t>ST</t>
  </si>
  <si>
    <t>ST</t>
  </si>
  <si>
    <t>ST</t>
  </si>
  <si>
    <t>PVC</t>
  </si>
  <si>
    <t>AC</t>
  </si>
  <si>
    <t>GV</t>
  </si>
  <si>
    <t>ST</t>
  </si>
  <si>
    <t>PVC</t>
  </si>
  <si>
    <t>ST</t>
  </si>
  <si>
    <t>PVC</t>
  </si>
  <si>
    <t>ST</t>
  </si>
  <si>
    <t>FT</t>
  </si>
  <si>
    <t>ST</t>
  </si>
  <si>
    <t>GV</t>
  </si>
  <si>
    <t>GV</t>
  </si>
  <si>
    <t>GV</t>
  </si>
  <si>
    <t>GV</t>
  </si>
  <si>
    <t>ST</t>
  </si>
  <si>
    <t>FT</t>
  </si>
  <si>
    <t>FT</t>
  </si>
  <si>
    <t>GV</t>
  </si>
  <si>
    <t>GV</t>
  </si>
  <si>
    <t>FT</t>
  </si>
  <si>
    <t>FT</t>
  </si>
  <si>
    <t>GV</t>
  </si>
  <si>
    <t>GV</t>
  </si>
  <si>
    <t>FT</t>
  </si>
  <si>
    <t>GV</t>
  </si>
  <si>
    <t>GV</t>
  </si>
  <si>
    <t>FT</t>
  </si>
  <si>
    <t>ST</t>
  </si>
  <si>
    <t>FT</t>
  </si>
  <si>
    <t>ST</t>
  </si>
  <si>
    <t>FT</t>
  </si>
  <si>
    <t>GV</t>
  </si>
  <si>
    <t>GV</t>
  </si>
  <si>
    <t>FT</t>
  </si>
  <si>
    <t>FT</t>
  </si>
  <si>
    <t>FT</t>
  </si>
  <si>
    <t>GV</t>
  </si>
  <si>
    <t>ST</t>
  </si>
  <si>
    <t>FT</t>
  </si>
  <si>
    <t>GV</t>
  </si>
  <si>
    <t>AC</t>
  </si>
  <si>
    <t>FT</t>
  </si>
  <si>
    <t>ST</t>
  </si>
  <si>
    <t>GV</t>
  </si>
  <si>
    <t>FT</t>
  </si>
  <si>
    <t>GV</t>
  </si>
  <si>
    <t>ST</t>
  </si>
  <si>
    <t>GV</t>
  </si>
  <si>
    <t>GV</t>
  </si>
  <si>
    <t>FT</t>
  </si>
  <si>
    <t>GV</t>
  </si>
  <si>
    <t>ST</t>
  </si>
  <si>
    <t>GV</t>
  </si>
  <si>
    <t>FT</t>
  </si>
  <si>
    <t>ST</t>
  </si>
  <si>
    <t>GV</t>
  </si>
  <si>
    <t>GV</t>
  </si>
  <si>
    <t>FT</t>
  </si>
  <si>
    <t>GV</t>
  </si>
  <si>
    <t>FT</t>
  </si>
  <si>
    <t>GV</t>
  </si>
  <si>
    <t>GV</t>
  </si>
  <si>
    <t>GV</t>
  </si>
  <si>
    <t>GV</t>
  </si>
  <si>
    <t>PVC</t>
  </si>
  <si>
    <t>ST</t>
  </si>
  <si>
    <t>GV</t>
  </si>
  <si>
    <t>ST</t>
  </si>
  <si>
    <t>GV</t>
  </si>
  <si>
    <t>FT</t>
  </si>
  <si>
    <t>GV</t>
  </si>
  <si>
    <t>PVC</t>
  </si>
  <si>
    <t>AC</t>
  </si>
  <si>
    <t>GV</t>
  </si>
  <si>
    <t>GV</t>
  </si>
  <si>
    <t>FT</t>
  </si>
  <si>
    <t>ST</t>
  </si>
  <si>
    <t>ST</t>
  </si>
  <si>
    <t>GV</t>
  </si>
  <si>
    <t>GV</t>
  </si>
  <si>
    <t>ST</t>
  </si>
  <si>
    <t>GV</t>
  </si>
  <si>
    <t>ST</t>
  </si>
  <si>
    <t>ST</t>
  </si>
  <si>
    <t>GV</t>
  </si>
  <si>
    <t>GV</t>
  </si>
  <si>
    <t>FT</t>
  </si>
  <si>
    <t>FT</t>
  </si>
  <si>
    <t>ST</t>
  </si>
  <si>
    <t>FT</t>
  </si>
  <si>
    <t>GV</t>
  </si>
  <si>
    <t>FT</t>
  </si>
  <si>
    <t>FT</t>
  </si>
  <si>
    <t>GV</t>
  </si>
  <si>
    <t>ST</t>
  </si>
  <si>
    <t>GV</t>
  </si>
  <si>
    <t>GV</t>
  </si>
  <si>
    <t>FT</t>
  </si>
  <si>
    <t>GV</t>
  </si>
  <si>
    <t>FT</t>
  </si>
  <si>
    <t>GV</t>
  </si>
  <si>
    <t>FT</t>
  </si>
  <si>
    <t>ST</t>
  </si>
  <si>
    <t>ST</t>
  </si>
  <si>
    <t>ST</t>
  </si>
  <si>
    <t>GV</t>
  </si>
  <si>
    <t>FT</t>
  </si>
  <si>
    <t>GV</t>
  </si>
  <si>
    <t>ST</t>
  </si>
  <si>
    <t>FT</t>
  </si>
  <si>
    <t>ST</t>
  </si>
  <si>
    <t>ST</t>
  </si>
  <si>
    <t>FT</t>
  </si>
  <si>
    <t>ST</t>
  </si>
  <si>
    <t>ST</t>
  </si>
  <si>
    <t>GV</t>
  </si>
  <si>
    <t>GV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</si>
  <si>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</si>
  <si>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</si>
  <si>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</si>
  <si>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</si>
  <si>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</si>
  <si>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</si>
  <si>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</si>
  <si>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</si>
  <si>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</si>
  <si>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</si>
  <si>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</si>
  <si>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</si>
  <si>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</si>
  <si>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</si>
  <si>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</si>
  <si>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</si>
  <si>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</si>
  <si>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</si>
  <si>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</si>
  <si>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</si>
  <si>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</si>
  <si>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</si>
  <si>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</si>
  <si>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</si>
  <si>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</si>
  <si>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</si>
  <si>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</si>
  <si>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</si>
  <si>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</si>
  <si>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</si>
  <si>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</si>
  <si>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ST</t>
  </si>
  <si>
    <t>Nom de l’actif</t>
  </si>
  <si>
    <t>Matériau</t>
  </si>
  <si>
    <t>Diamètre (mm)</t>
  </si>
  <si>
    <t>Longueur (m)</t>
  </si>
  <si>
    <t>Taux unitaire (par mètre)</t>
  </si>
  <si>
    <t>Coûts de remplacement</t>
  </si>
  <si>
    <t>Durée de vie physique</t>
  </si>
  <si>
    <t>Durée de vie utile</t>
  </si>
  <si>
    <t>Financement durable (simplifié)</t>
  </si>
  <si>
    <t>Financement durable (versement)</t>
  </si>
  <si>
    <t>Année d’installation</t>
  </si>
  <si>
    <t>Âge</t>
  </si>
  <si>
    <t>Utilisation (%)</t>
  </si>
  <si>
    <t>Utilisation ($)</t>
  </si>
  <si>
    <t>Valeur restante</t>
  </si>
  <si>
    <t>ST</t>
  </si>
  <si>
    <t>FT</t>
  </si>
  <si>
    <t>GV</t>
  </si>
  <si>
    <t>FT</t>
  </si>
  <si>
    <t>GV</t>
  </si>
  <si>
    <t>AC</t>
  </si>
  <si>
    <t>AC</t>
  </si>
  <si>
    <t>ST</t>
  </si>
  <si>
    <t>AC</t>
  </si>
  <si>
    <t>AC</t>
  </si>
  <si>
    <t>FT</t>
  </si>
  <si>
    <t>GV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</si>
  <si>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</si>
  <si>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</si>
  <si>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</si>
  <si>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</si>
  <si>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</si>
  <si>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</si>
  <si>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</si>
  <si>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</si>
  <si>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</si>
  <si>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</si>
  <si>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</si>
  <si>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</si>
  <si>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</si>
  <si>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</si>
  <si>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</si>
  <si>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</si>
  <si>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</si>
  <si>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</si>
  <si>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</si>
  <si>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</si>
  <si>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</si>
  <si>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</si>
  <si>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</si>
  <si>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</si>
  <si>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</si>
  <si>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</si>
  <si>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</si>
  <si>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</si>
  <si>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</si>
  <si>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</si>
  <si>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</si>
  <si>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</si>
  <si>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</si>
  <si>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</si>
  <si>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</si>
  <si>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</si>
  <si>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</si>
  <si>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PVC</t>
  </si>
  <si>
    <t>AC</t>
  </si>
  <si>
    <t>GV</t>
  </si>
  <si>
    <t>AC</t>
  </si>
  <si>
    <t>GV</t>
  </si>
  <si>
    <t>AC</t>
  </si>
  <si>
    <t>FT</t>
  </si>
  <si>
    <t>FT</t>
  </si>
  <si>
    <t>ST</t>
  </si>
  <si>
    <t>FT</t>
  </si>
  <si>
    <t>ST</t>
  </si>
  <si>
    <t>FT</t>
  </si>
  <si>
    <t>FT</t>
  </si>
  <si>
    <t>AC</t>
  </si>
  <si>
    <t>AC</t>
  </si>
  <si>
    <t>ST</t>
  </si>
  <si>
    <t>AC</t>
  </si>
  <si>
    <t>FT</t>
  </si>
  <si>
    <t>FT</t>
  </si>
  <si>
    <t>AC</t>
  </si>
  <si>
    <t>FT</t>
  </si>
  <si>
    <t>PVC</t>
  </si>
  <si>
    <t>AC</t>
  </si>
  <si>
    <t>ST</t>
  </si>
  <si>
    <t>ST</t>
  </si>
  <si>
    <t>AC</t>
  </si>
  <si>
    <t>AC</t>
  </si>
  <si>
    <t>AC</t>
  </si>
  <si>
    <t>AC</t>
  </si>
  <si>
    <t>GV</t>
  </si>
  <si>
    <t>PVC</t>
  </si>
  <si>
    <t>FT</t>
  </si>
  <si>
    <t>AC</t>
  </si>
  <si>
    <t>AC</t>
  </si>
  <si>
    <t>ST</t>
  </si>
  <si>
    <t>FT</t>
  </si>
  <si>
    <t>FT</t>
  </si>
  <si>
    <t>AC</t>
  </si>
  <si>
    <t>AC</t>
  </si>
  <si>
    <t>ST</t>
  </si>
  <si>
    <t>AC</t>
  </si>
  <si>
    <t>FT</t>
  </si>
  <si>
    <t>ST</t>
  </si>
  <si>
    <t>FT</t>
  </si>
  <si>
    <t>ST</t>
  </si>
  <si>
    <t>AC</t>
  </si>
  <si>
    <t>FT</t>
  </si>
  <si>
    <t>FT</t>
  </si>
  <si>
    <t>ST</t>
  </si>
  <si>
    <t>ST</t>
  </si>
  <si>
    <t>ST</t>
  </si>
  <si>
    <t>PVC</t>
  </si>
  <si>
    <t>AC</t>
  </si>
  <si>
    <t>GV</t>
  </si>
  <si>
    <t>ST</t>
  </si>
  <si>
    <t>PVC</t>
  </si>
  <si>
    <t>ST</t>
  </si>
  <si>
    <t>PVC</t>
  </si>
  <si>
    <t>ST</t>
  </si>
  <si>
    <t>FT</t>
  </si>
  <si>
    <t>ST</t>
  </si>
  <si>
    <t>GV</t>
  </si>
  <si>
    <t>GV</t>
  </si>
  <si>
    <t>GV</t>
  </si>
  <si>
    <t>GV</t>
  </si>
  <si>
    <t>ST</t>
  </si>
  <si>
    <t>FT</t>
  </si>
  <si>
    <t>FT</t>
  </si>
  <si>
    <t>GV</t>
  </si>
  <si>
    <t>GV</t>
  </si>
  <si>
    <t>FT</t>
  </si>
  <si>
    <t>FT</t>
  </si>
  <si>
    <t>GV</t>
  </si>
  <si>
    <t>GV</t>
  </si>
  <si>
    <t>FT</t>
  </si>
  <si>
    <t>GV</t>
  </si>
  <si>
    <t>GV</t>
  </si>
  <si>
    <t>FT</t>
  </si>
  <si>
    <t>ST</t>
  </si>
  <si>
    <t>FT</t>
  </si>
  <si>
    <t>ST</t>
  </si>
  <si>
    <t>FT</t>
  </si>
  <si>
    <t>GV</t>
  </si>
  <si>
    <t>GV</t>
  </si>
  <si>
    <t>FT</t>
  </si>
  <si>
    <t>FT</t>
  </si>
  <si>
    <t>FT</t>
  </si>
  <si>
    <t>GV</t>
  </si>
  <si>
    <t>ST</t>
  </si>
  <si>
    <t>FT</t>
  </si>
  <si>
    <t>GV</t>
  </si>
  <si>
    <t>AC</t>
  </si>
  <si>
    <t>FT</t>
  </si>
  <si>
    <t>ST</t>
  </si>
  <si>
    <t>GV</t>
  </si>
  <si>
    <t>FT</t>
  </si>
  <si>
    <t>GV</t>
  </si>
  <si>
    <t>ST</t>
  </si>
  <si>
    <t>GV</t>
  </si>
  <si>
    <t>GV</t>
  </si>
  <si>
    <t>FT</t>
  </si>
  <si>
    <t>GV</t>
  </si>
  <si>
    <t>ST</t>
  </si>
  <si>
    <t>GV</t>
  </si>
  <si>
    <t>FT</t>
  </si>
  <si>
    <t>ST</t>
  </si>
  <si>
    <t>GV</t>
  </si>
  <si>
    <t>GV</t>
  </si>
  <si>
    <t>FT</t>
  </si>
  <si>
    <t>GV</t>
  </si>
  <si>
    <t>FT</t>
  </si>
  <si>
    <t>GV</t>
  </si>
  <si>
    <t>GV</t>
  </si>
  <si>
    <t>GV</t>
  </si>
  <si>
    <t>GV</t>
  </si>
  <si>
    <t>PVC</t>
  </si>
  <si>
    <t>ST</t>
  </si>
  <si>
    <t>GV</t>
  </si>
  <si>
    <t>ST</t>
  </si>
  <si>
    <t>GV</t>
  </si>
  <si>
    <t>FT</t>
  </si>
  <si>
    <t>GV</t>
  </si>
  <si>
    <t>PVC</t>
  </si>
  <si>
    <t>AC</t>
  </si>
  <si>
    <t>GV</t>
  </si>
  <si>
    <t>GV</t>
  </si>
  <si>
    <t>FT</t>
  </si>
  <si>
    <t>ST</t>
  </si>
  <si>
    <t>ST</t>
  </si>
  <si>
    <t>GV</t>
  </si>
  <si>
    <t>GV</t>
  </si>
  <si>
    <t>ST</t>
  </si>
  <si>
    <t>GV</t>
  </si>
  <si>
    <t>ST</t>
  </si>
  <si>
    <t>ST</t>
  </si>
  <si>
    <t>GV</t>
  </si>
  <si>
    <t>GV</t>
  </si>
  <si>
    <t>FT</t>
  </si>
  <si>
    <t>FT</t>
  </si>
  <si>
    <t>ST</t>
  </si>
  <si>
    <t>FT</t>
  </si>
  <si>
    <t>GV</t>
  </si>
  <si>
    <t>FT</t>
  </si>
  <si>
    <t>FT</t>
  </si>
  <si>
    <t>GV</t>
  </si>
  <si>
    <t>ST</t>
  </si>
  <si>
    <t>GV</t>
  </si>
  <si>
    <t>GV</t>
  </si>
  <si>
    <t>FT</t>
  </si>
  <si>
    <t>GV</t>
  </si>
  <si>
    <t>FT</t>
  </si>
  <si>
    <t>GV</t>
  </si>
  <si>
    <t>FT</t>
  </si>
  <si>
    <t>ST</t>
  </si>
  <si>
    <t>ST</t>
  </si>
  <si>
    <t>ST</t>
  </si>
  <si>
    <t>GV</t>
  </si>
  <si>
    <t>FT</t>
  </si>
  <si>
    <t>GV</t>
  </si>
  <si>
    <t>ST</t>
  </si>
  <si>
    <t>FT</t>
  </si>
  <si>
    <t>ST</t>
  </si>
  <si>
    <t>ST</t>
  </si>
  <si>
    <t>FT</t>
  </si>
  <si>
    <t>ST</t>
  </si>
  <si>
    <t>ST</t>
  </si>
  <si>
    <t>GV</t>
  </si>
  <si>
    <t>GV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</si>
  <si>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</si>
  <si>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</si>
  <si>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</si>
  <si>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</si>
  <si>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</si>
  <si>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</si>
  <si>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</si>
  <si>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</si>
  <si>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</si>
  <si>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</si>
  <si>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</si>
  <si>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</si>
  <si>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</si>
  <si>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</si>
  <si>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</si>
  <si>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</si>
  <si>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</si>
  <si>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</si>
  <si>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</si>
  <si>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</si>
  <si>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</si>
  <si>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</si>
  <si>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</si>
  <si>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</si>
  <si>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</si>
  <si>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</si>
  <si>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</si>
  <si>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</si>
  <si>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</si>
  <si>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</si>
  <si>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PVC</t>
  </si>
  <si>
    <t>ST</t>
  </si>
  <si>
    <r>
      <rPr>
        <sz val="11"/>
        <color theme="1"/>
        <rFont val="Calibri"/>
        <family val="2"/>
        <scheme val="minor"/>
      </rPr>
      <t>Véhicules et matériel</t>
    </r>
  </si>
  <si>
    <r>
      <rPr>
        <sz val="11"/>
        <color theme="1"/>
        <rFont val="Calibri"/>
        <family val="2"/>
        <scheme val="minor"/>
      </rPr>
      <t>Véhicules et matériel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</si>
  <si>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</si>
  <si>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Véhicules et matériel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</si>
  <si>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</si>
  <si>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Transfert à la réserve de renouvellement des infrastructures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</si>
  <si>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</si>
  <si>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</si>
  <si>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</si>
  <si>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 xml:space="preserve">Financement général direct des projets d’immobilisations 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</si>
  <si>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</si>
  <si>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</si>
  <si>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sz val="11"/>
        <color theme="1"/>
        <rFont val="Calibri"/>
        <family val="2"/>
        <scheme val="minor"/>
      </rPr>
      <t>Général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</si>
  <si>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</si>
  <si>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</si>
  <si>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Collecteur d’eaux pluviales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</si>
  <si>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</si>
  <si>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Bâtiments</t>
    </r>
  </si>
  <si>
    <r>
      <rPr>
        <sz val="11"/>
        <color theme="1"/>
        <rFont val="Calibri"/>
        <family val="2"/>
        <scheme val="minor"/>
      </rPr>
      <t>Financement pour :</t>
    </r>
  </si>
  <si>
    <r>
      <rPr>
        <sz val="11"/>
        <color theme="1"/>
        <rFont val="Calibri"/>
        <family val="2"/>
        <scheme val="minor"/>
      </rPr>
      <t>Infrastructure des parcs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</si>
  <si>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</si>
  <si>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sz val="11"/>
        <color theme="1"/>
        <rFont val="Calibri"/>
        <family val="2"/>
        <scheme val="minor"/>
      </rPr>
      <t>Eau</t>
    </r>
  </si>
  <si>
    <r>
      <rPr>
        <sz val="11"/>
        <color theme="1"/>
        <rFont val="Calibri"/>
        <family val="2"/>
        <scheme val="minor"/>
      </rPr>
      <t>Collecteur d’eaux pluviales</t>
    </r>
  </si>
  <si>
    <r>
      <rPr>
        <sz val="11"/>
        <color theme="1"/>
        <rFont val="Calibri"/>
        <family val="2"/>
        <scheme val="minor"/>
      </rPr>
      <t>Routes</t>
    </r>
  </si>
  <si>
    <r>
      <rPr>
        <sz val="11"/>
        <color theme="1"/>
        <rFont val="Calibri"/>
        <family val="2"/>
        <scheme val="minor"/>
      </rPr>
      <t>Financement pour :</t>
    </r>
  </si>
  <si>
    <r>
      <rPr>
        <sz val="11"/>
        <color theme="1"/>
        <rFont val="Calibri"/>
        <family val="2"/>
        <scheme val="minor"/>
      </rPr>
      <t>Bâtiments</t>
    </r>
  </si>
  <si>
    <r>
      <rPr>
        <sz val="11"/>
        <color theme="1"/>
        <rFont val="Calibri"/>
        <family val="2"/>
        <scheme val="minor"/>
      </rPr>
      <t>Infrastructure des parcs</t>
    </r>
  </si>
  <si>
    <r>
      <rPr>
        <sz val="11"/>
        <color theme="1"/>
        <rFont val="Calibri"/>
        <family val="2"/>
        <scheme val="minor"/>
      </rPr>
      <t>Rendement des investissements</t>
    </r>
  </si>
  <si>
    <r>
      <rPr>
        <sz val="11"/>
        <color theme="1"/>
        <rFont val="Calibri"/>
        <family val="2"/>
        <scheme val="minor"/>
      </rPr>
      <t>Égouts sanitaires</t>
    </r>
  </si>
  <si>
    <t>Nom de l’actif</t>
  </si>
  <si>
    <t>Emplacement</t>
  </si>
  <si>
    <t>Valeur estimée</t>
  </si>
  <si>
    <t>Durée de vie physique</t>
  </si>
  <si>
    <t>Durée de vie utile</t>
  </si>
  <si>
    <t>Financement durable (simplifié)</t>
  </si>
  <si>
    <t>Financement durable (versement)</t>
  </si>
  <si>
    <t>Année d’installation</t>
  </si>
  <si>
    <t>Âge</t>
  </si>
  <si>
    <r>
      <rPr>
        <sz val="11"/>
        <color theme="1"/>
        <rFont val="Calibri"/>
        <family val="2"/>
        <scheme val="minor"/>
      </rPr>
      <t>Utilisation (%)</t>
    </r>
  </si>
  <si>
    <t>Utilisation ($)</t>
  </si>
  <si>
    <t>Valeur restante</t>
  </si>
  <si>
    <r>
      <rPr>
        <sz val="11"/>
        <color theme="1"/>
        <rFont val="Calibri"/>
        <family val="2"/>
        <scheme val="minor"/>
      </rPr>
      <t>1001 Main St.</t>
    </r>
  </si>
  <si>
    <r>
      <rPr>
        <sz val="11"/>
        <color theme="1"/>
        <rFont val="Calibri"/>
        <family val="2"/>
        <scheme val="minor"/>
      </rPr>
      <t>911 Captive Rd.</t>
    </r>
  </si>
  <si>
    <r>
      <rPr>
        <sz val="11"/>
        <color theme="1"/>
        <rFont val="Calibri"/>
        <family val="2"/>
        <scheme val="minor"/>
      </rPr>
      <t>25 CatinTree Blvd</t>
    </r>
  </si>
  <si>
    <r>
      <rPr>
        <sz val="11"/>
        <color theme="1"/>
        <rFont val="Calibri"/>
        <family val="2"/>
        <scheme val="minor"/>
      </rPr>
      <t>200 Weefun Rd.</t>
    </r>
  </si>
  <si>
    <r>
      <rPr>
        <sz val="11"/>
        <color theme="1"/>
        <rFont val="Calibri"/>
        <family val="2"/>
        <scheme val="minor"/>
      </rPr>
      <t>2003 Reed Close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</si>
  <si>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</si>
  <si>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6707 Joiner Rd.</t>
    </r>
  </si>
  <si>
    <r>
      <rPr>
        <sz val="11"/>
        <color theme="1"/>
        <rFont val="Calibri"/>
        <family val="2"/>
        <scheme val="minor"/>
      </rPr>
      <t>2555 Treetop lane</t>
    </r>
  </si>
  <si>
    <r>
      <rPr>
        <sz val="11"/>
        <color theme="1"/>
        <rFont val="Calibri"/>
        <family val="2"/>
        <scheme val="minor"/>
      </rPr>
      <t>345 Diamond Lane.</t>
    </r>
  </si>
  <si>
    <r>
      <rPr>
        <sz val="11"/>
        <color theme="1"/>
        <rFont val="Calibri"/>
        <family val="2"/>
        <scheme val="minor"/>
      </rPr>
      <t>600 Boulder Cres.</t>
    </r>
  </si>
  <si>
    <r>
      <rPr>
        <sz val="11"/>
        <color theme="1"/>
        <rFont val="Calibri"/>
        <family val="2"/>
        <scheme val="minor"/>
      </rPr>
      <t>600 Boulder Cres.</t>
    </r>
  </si>
  <si>
    <t>Nom de l’actif</t>
  </si>
  <si>
    <t>Coûts de remplacement</t>
  </si>
  <si>
    <t>Durée de vie physique</t>
  </si>
  <si>
    <t>Durée de vie utile</t>
  </si>
  <si>
    <t>Financement durable (simplifié)</t>
  </si>
  <si>
    <t>Financement durable (versement)</t>
  </si>
  <si>
    <t>Année d’installation</t>
  </si>
  <si>
    <t>Âge</t>
  </si>
  <si>
    <r>
      <rPr>
        <sz val="11"/>
        <color theme="1"/>
        <rFont val="Calibri"/>
        <family val="2"/>
        <scheme val="minor"/>
      </rPr>
      <t>Utilisation (%)</t>
    </r>
  </si>
  <si>
    <r>
      <rPr>
        <sz val="11"/>
        <color theme="1"/>
        <rFont val="Calibri"/>
        <family val="2"/>
        <scheme val="minor"/>
      </rPr>
      <t>En retard?</t>
    </r>
  </si>
  <si>
    <t>Utilisation ($)</t>
  </si>
  <si>
    <t>Valeur restante</t>
  </si>
  <si>
    <r>
      <rPr>
        <sz val="11"/>
        <color theme="1"/>
        <rFont val="Calibri"/>
        <family val="2"/>
        <scheme val="minor"/>
      </rPr>
      <t>Matériau</t>
    </r>
  </si>
  <si>
    <r>
      <rPr>
        <sz val="11"/>
        <color theme="1"/>
        <rFont val="Calibri"/>
        <family val="2"/>
        <scheme val="minor"/>
      </rPr>
      <t>Durée de vie utile</t>
    </r>
  </si>
  <si>
    <r>
      <rPr>
        <sz val="11"/>
        <color theme="1"/>
        <rFont val="Calibri"/>
        <family val="2"/>
        <scheme val="minor"/>
      </rPr>
      <t>Durée de vie physique</t>
    </r>
  </si>
  <si>
    <r>
      <rPr>
        <sz val="11"/>
        <color theme="1"/>
        <rFont val="Calibri"/>
        <family val="2"/>
        <scheme val="minor"/>
      </rPr>
      <t>PVC</t>
    </r>
  </si>
  <si>
    <r>
      <rPr>
        <sz val="11"/>
        <color theme="1"/>
        <rFont val="Calibri"/>
        <family val="2"/>
        <scheme val="minor"/>
      </rPr>
      <t>FT</t>
    </r>
  </si>
  <si>
    <r>
      <rPr>
        <sz val="11"/>
        <color theme="1"/>
        <rFont val="Calibri"/>
        <family val="2"/>
        <scheme val="minor"/>
      </rPr>
      <t>GV</t>
    </r>
  </si>
  <si>
    <r>
      <rPr>
        <sz val="11"/>
        <color theme="1"/>
        <rFont val="Calibri"/>
        <family val="2"/>
        <scheme val="minor"/>
      </rPr>
      <t>ST</t>
    </r>
  </si>
  <si>
    <r>
      <rPr>
        <sz val="11"/>
        <color theme="1"/>
        <rFont val="Calibri"/>
        <family val="2"/>
        <scheme val="minor"/>
      </rPr>
      <t>Matériau</t>
    </r>
  </si>
  <si>
    <r>
      <rPr>
        <sz val="11"/>
        <color theme="1"/>
        <rFont val="Calibri"/>
        <family val="2"/>
        <scheme val="minor"/>
      </rPr>
      <t>Durée de vie utile</t>
    </r>
  </si>
  <si>
    <r>
      <rPr>
        <sz val="11"/>
        <color theme="1"/>
        <rFont val="Calibri"/>
        <family val="2"/>
        <scheme val="minor"/>
      </rPr>
      <t>Durée de vie physique</t>
    </r>
  </si>
  <si>
    <r>
      <rPr>
        <sz val="11"/>
        <color theme="1"/>
        <rFont val="Calibri"/>
        <family val="2"/>
        <scheme val="minor"/>
      </rPr>
      <t>Chlorure de polyvinyle</t>
    </r>
  </si>
  <si>
    <r>
      <rPr>
        <sz val="11"/>
        <color theme="1"/>
        <rFont val="Calibri"/>
        <family val="2"/>
        <scheme val="minor"/>
      </rPr>
      <t>PVC</t>
    </r>
  </si>
  <si>
    <r>
      <rPr>
        <sz val="11"/>
        <color theme="1"/>
        <rFont val="Calibri"/>
        <family val="2"/>
        <scheme val="minor"/>
      </rPr>
      <t>Amiante-ciment</t>
    </r>
  </si>
  <si>
    <r>
      <rPr>
        <sz val="11"/>
        <color theme="1"/>
        <rFont val="Calibri"/>
        <family val="2"/>
        <scheme val="minor"/>
      </rPr>
      <t>AC</t>
    </r>
  </si>
  <si>
    <r>
      <rPr>
        <sz val="11"/>
        <color theme="1"/>
        <rFont val="Calibri"/>
        <family val="2"/>
        <scheme val="minor"/>
      </rPr>
      <t xml:space="preserve">Fonte </t>
    </r>
  </si>
  <si>
    <r>
      <rPr>
        <sz val="11"/>
        <color theme="1"/>
        <rFont val="Calibri"/>
        <family val="2"/>
        <scheme val="minor"/>
      </rPr>
      <t>FT</t>
    </r>
  </si>
  <si>
    <r>
      <rPr>
        <sz val="11"/>
        <color theme="1"/>
        <rFont val="Calibri"/>
        <family val="2"/>
        <scheme val="minor"/>
      </rPr>
      <t>Grès vernissé</t>
    </r>
  </si>
  <si>
    <r>
      <rPr>
        <sz val="11"/>
        <color theme="1"/>
        <rFont val="Calibri"/>
        <family val="2"/>
        <scheme val="minor"/>
      </rPr>
      <t>GV</t>
    </r>
  </si>
  <si>
    <r>
      <rPr>
        <sz val="11"/>
        <color theme="1"/>
        <rFont val="Calibri"/>
        <family val="2"/>
        <scheme val="minor"/>
      </rPr>
      <t>Acier</t>
    </r>
  </si>
  <si>
    <r>
      <rPr>
        <sz val="11"/>
        <color theme="1"/>
        <rFont val="Calibri"/>
        <family val="2"/>
        <scheme val="minor"/>
      </rPr>
      <t>ST</t>
    </r>
  </si>
  <si>
    <r>
      <rPr>
        <sz val="11"/>
        <color theme="1"/>
        <rFont val="Calibri"/>
        <family val="2"/>
        <scheme val="minor"/>
      </rPr>
      <t>Durée de vie utile</t>
    </r>
  </si>
  <si>
    <r>
      <rPr>
        <sz val="11"/>
        <color theme="1"/>
        <rFont val="Calibri"/>
        <family val="2"/>
        <scheme val="minor"/>
      </rPr>
      <t>Durée de vie physique</t>
    </r>
  </si>
  <si>
    <r>
      <rPr>
        <sz val="11"/>
        <color theme="1"/>
        <rFont val="Calibri"/>
        <family val="2"/>
        <scheme val="minor"/>
      </rPr>
      <t>Routes locales</t>
    </r>
  </si>
  <si>
    <r>
      <rPr>
        <sz val="11"/>
        <color theme="1"/>
        <rFont val="Calibri"/>
        <family val="2"/>
        <scheme val="minor"/>
      </rPr>
      <t>Routes collectrices</t>
    </r>
  </si>
  <si>
    <r>
      <rPr>
        <sz val="11"/>
        <color theme="1"/>
        <rFont val="Calibri"/>
        <family val="2"/>
        <scheme val="minor"/>
      </rPr>
      <t>Voies artérielles</t>
    </r>
  </si>
  <si>
    <r>
      <rPr>
        <sz val="11"/>
        <color theme="1"/>
        <rFont val="Calibri"/>
        <family val="2"/>
        <scheme val="minor"/>
      </rPr>
      <t>Matériau</t>
    </r>
  </si>
  <si>
    <r>
      <rPr>
        <sz val="11"/>
        <color theme="1"/>
        <rFont val="Calibri"/>
        <family val="2"/>
        <scheme val="minor"/>
      </rPr>
      <t>Durée de vie utile</t>
    </r>
  </si>
  <si>
    <r>
      <rPr>
        <sz val="11"/>
        <color theme="1"/>
        <rFont val="Calibri"/>
        <family val="2"/>
        <scheme val="minor"/>
      </rPr>
      <t>Durée de vie physique</t>
    </r>
  </si>
  <si>
    <r>
      <rPr>
        <sz val="11"/>
        <color theme="1"/>
        <rFont val="Calibri"/>
        <family val="2"/>
        <scheme val="minor"/>
      </rPr>
      <t>Chlorure de polyvinyle</t>
    </r>
  </si>
  <si>
    <r>
      <rPr>
        <sz val="11"/>
        <color theme="1"/>
        <rFont val="Calibri"/>
        <family val="2"/>
        <scheme val="minor"/>
      </rPr>
      <t>PVC</t>
    </r>
  </si>
  <si>
    <r>
      <rPr>
        <sz val="11"/>
        <color theme="1"/>
        <rFont val="Calibri"/>
        <family val="2"/>
        <scheme val="minor"/>
      </rPr>
      <t>Amiante-ciment</t>
    </r>
  </si>
  <si>
    <r>
      <rPr>
        <sz val="11"/>
        <color theme="1"/>
        <rFont val="Calibri"/>
        <family val="2"/>
        <scheme val="minor"/>
      </rPr>
      <t>AC</t>
    </r>
  </si>
  <si>
    <r>
      <rPr>
        <sz val="11"/>
        <color theme="1"/>
        <rFont val="Calibri"/>
        <family val="2"/>
        <scheme val="minor"/>
      </rPr>
      <t xml:space="preserve">Fonte </t>
    </r>
  </si>
  <si>
    <r>
      <rPr>
        <sz val="11"/>
        <color theme="1"/>
        <rFont val="Calibri"/>
        <family val="2"/>
        <scheme val="minor"/>
      </rPr>
      <t>FT</t>
    </r>
  </si>
  <si>
    <r>
      <rPr>
        <sz val="11"/>
        <color theme="1"/>
        <rFont val="Calibri"/>
        <family val="2"/>
        <scheme val="minor"/>
      </rPr>
      <t>Grès vernissé</t>
    </r>
  </si>
  <si>
    <r>
      <rPr>
        <sz val="11"/>
        <color theme="1"/>
        <rFont val="Calibri"/>
        <family val="2"/>
        <scheme val="minor"/>
      </rPr>
      <t>GV</t>
    </r>
  </si>
  <si>
    <r>
      <rPr>
        <sz val="11"/>
        <color theme="1"/>
        <rFont val="Calibri"/>
        <family val="2"/>
        <scheme val="minor"/>
      </rPr>
      <t>Acier</t>
    </r>
  </si>
  <si>
    <r>
      <rPr>
        <sz val="11"/>
        <color theme="1"/>
        <rFont val="Calibri"/>
        <family val="2"/>
        <scheme val="minor"/>
      </rPr>
      <t>ST</t>
    </r>
  </si>
  <si>
    <r>
      <rPr>
        <sz val="11"/>
        <color theme="1"/>
        <rFont val="Calibri"/>
        <family val="2"/>
        <scheme val="minor"/>
      </rPr>
      <t>Durée de vie utile</t>
    </r>
  </si>
  <si>
    <r>
      <rPr>
        <sz val="11"/>
        <color theme="1"/>
        <rFont val="Calibri"/>
        <family val="2"/>
        <scheme val="minor"/>
      </rPr>
      <t>Durée de vie physique</t>
    </r>
  </si>
  <si>
    <r>
      <rPr>
        <sz val="11"/>
        <color theme="1"/>
        <rFont val="Calibri"/>
        <family val="2"/>
        <scheme val="minor"/>
      </rPr>
      <t>Routes locales</t>
    </r>
  </si>
  <si>
    <r>
      <rPr>
        <sz val="11"/>
        <color theme="1"/>
        <rFont val="Calibri"/>
        <family val="2"/>
        <scheme val="minor"/>
      </rPr>
      <t>Routes collectrices</t>
    </r>
  </si>
  <si>
    <r>
      <rPr>
        <sz val="11"/>
        <color theme="1"/>
        <rFont val="Calibri"/>
        <family val="2"/>
        <scheme val="minor"/>
      </rPr>
      <t>Voies artérielles</t>
    </r>
  </si>
  <si>
    <r>
      <rPr>
        <sz val="11"/>
        <color theme="1"/>
        <rFont val="Calibri"/>
        <family val="2"/>
        <scheme val="minor"/>
      </rPr>
      <t>Conduite principale</t>
    </r>
  </si>
  <si>
    <r>
      <rPr>
        <sz val="11"/>
        <color theme="1"/>
        <rFont val="Calibri"/>
        <family val="2"/>
        <scheme val="minor"/>
      </rPr>
      <t>Conduite principale</t>
    </r>
  </si>
  <si>
    <r>
      <rPr>
        <sz val="11"/>
        <color theme="1"/>
        <rFont val="Calibri"/>
        <family val="2"/>
        <scheme val="minor"/>
      </rPr>
      <t>Diamètre</t>
    </r>
  </si>
  <si>
    <r>
      <rPr>
        <sz val="11"/>
        <color theme="1"/>
        <rFont val="Calibri"/>
        <family val="2"/>
        <scheme val="minor"/>
      </rPr>
      <t>par mètre</t>
    </r>
  </si>
  <si>
    <r>
      <rPr>
        <sz val="11"/>
        <color theme="1"/>
        <rFont val="Calibri"/>
        <family val="2"/>
        <scheme val="minor"/>
      </rPr>
      <t>Diamètre</t>
    </r>
  </si>
  <si>
    <r>
      <rPr>
        <sz val="11"/>
        <color theme="1"/>
        <rFont val="Calibri"/>
        <family val="2"/>
        <scheme val="minor"/>
      </rPr>
      <t>par mètre</t>
    </r>
  </si>
  <si>
    <t>Nom de l’actif</t>
  </si>
  <si>
    <t>Matériau</t>
  </si>
  <si>
    <t>Diamètre (mm)</t>
  </si>
  <si>
    <t>Longueur (m)</t>
  </si>
  <si>
    <t>Taux unitaire (par mètre)</t>
  </si>
  <si>
    <t>Coûts de remplacement</t>
  </si>
  <si>
    <t>Durée de vie physique</t>
  </si>
  <si>
    <t>Durée de vie utile</t>
  </si>
  <si>
    <t>Financement durable (simplifié)</t>
  </si>
  <si>
    <t>Financement durable (versement)</t>
  </si>
  <si>
    <t>Année d’installation</t>
  </si>
  <si>
    <t>Âge</t>
  </si>
  <si>
    <t>Utilisation (%)</t>
  </si>
  <si>
    <t>Utilisation ($)</t>
  </si>
  <si>
    <t>Valeur restante</t>
  </si>
  <si>
    <t>Remplacement 1</t>
  </si>
  <si>
    <t>Remplacement 2</t>
  </si>
  <si>
    <t>ST</t>
  </si>
  <si>
    <t>FT</t>
  </si>
  <si>
    <t>GV</t>
  </si>
  <si>
    <t>FT</t>
  </si>
  <si>
    <t>GV</t>
  </si>
  <si>
    <t>AC</t>
  </si>
  <si>
    <t>AC</t>
  </si>
  <si>
    <t>ST</t>
  </si>
  <si>
    <t>AC</t>
  </si>
  <si>
    <t>AC</t>
  </si>
  <si>
    <t>FT</t>
  </si>
  <si>
    <t>GV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</si>
  <si>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</si>
  <si>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</si>
  <si>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</si>
  <si>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</si>
  <si>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</si>
  <si>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</si>
  <si>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</si>
  <si>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</si>
  <si>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</si>
  <si>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</si>
  <si>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</si>
  <si>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</si>
  <si>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</si>
  <si>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</si>
  <si>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</si>
  <si>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</si>
  <si>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</si>
  <si>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</si>
  <si>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</si>
  <si>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</si>
  <si>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</si>
  <si>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</si>
  <si>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</si>
  <si>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</si>
  <si>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</si>
  <si>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</si>
  <si>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</si>
  <si>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</si>
  <si>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</si>
  <si>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</si>
  <si>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</si>
  <si>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</si>
  <si>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</si>
  <si>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</si>
  <si>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</si>
  <si>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</si>
  <si>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AC</t>
  </si>
  <si>
    <t>PVC</t>
  </si>
  <si>
    <t>AC</t>
  </si>
  <si>
    <t>GV</t>
  </si>
  <si>
    <t>AC</t>
  </si>
  <si>
    <t>GV</t>
  </si>
  <si>
    <t>AC</t>
  </si>
  <si>
    <t>FT</t>
  </si>
  <si>
    <t>FT</t>
  </si>
  <si>
    <t>ST</t>
  </si>
  <si>
    <t>FT</t>
  </si>
  <si>
    <t>ST</t>
  </si>
  <si>
    <t>FT</t>
  </si>
  <si>
    <t>FT</t>
  </si>
  <si>
    <t>AC</t>
  </si>
  <si>
    <t>AC</t>
  </si>
  <si>
    <t>ST</t>
  </si>
  <si>
    <t>AC</t>
  </si>
  <si>
    <t>FT</t>
  </si>
  <si>
    <t>FT</t>
  </si>
  <si>
    <t>AC</t>
  </si>
  <si>
    <t>FT</t>
  </si>
  <si>
    <t>PVC</t>
  </si>
  <si>
    <t>AC</t>
  </si>
  <si>
    <t>ST</t>
  </si>
  <si>
    <t>ST</t>
  </si>
  <si>
    <t>AC</t>
  </si>
  <si>
    <t>AC</t>
  </si>
  <si>
    <t>AC</t>
  </si>
  <si>
    <t>AC</t>
  </si>
  <si>
    <t>GV</t>
  </si>
  <si>
    <t>PVC</t>
  </si>
  <si>
    <t>FT</t>
  </si>
  <si>
    <t>AC</t>
  </si>
  <si>
    <t>AC</t>
  </si>
  <si>
    <t>ST</t>
  </si>
  <si>
    <t>FT</t>
  </si>
  <si>
    <t>FT</t>
  </si>
  <si>
    <t>AC</t>
  </si>
  <si>
    <t>AC</t>
  </si>
  <si>
    <t>ST</t>
  </si>
  <si>
    <t>AC</t>
  </si>
  <si>
    <t>FT</t>
  </si>
  <si>
    <t>ST</t>
  </si>
  <si>
    <t>FT</t>
  </si>
  <si>
    <t>ST</t>
  </si>
  <si>
    <t>AC</t>
  </si>
  <si>
    <t>FT</t>
  </si>
  <si>
    <t>FT</t>
  </si>
  <si>
    <t>ST</t>
  </si>
  <si>
    <t>ST</t>
  </si>
  <si>
    <t>ST</t>
  </si>
  <si>
    <t>PVC</t>
  </si>
  <si>
    <t>AC</t>
  </si>
  <si>
    <t>GV</t>
  </si>
  <si>
    <t>ST</t>
  </si>
  <si>
    <t>PVC</t>
  </si>
  <si>
    <t>ST</t>
  </si>
  <si>
    <t>PVC</t>
  </si>
  <si>
    <t>ST</t>
  </si>
  <si>
    <t>FT</t>
  </si>
  <si>
    <t>ST</t>
  </si>
  <si>
    <t>GV</t>
  </si>
  <si>
    <t>GV</t>
  </si>
  <si>
    <t>GV</t>
  </si>
  <si>
    <t>GV</t>
  </si>
  <si>
    <t>ST</t>
  </si>
  <si>
    <t>FT</t>
  </si>
  <si>
    <t>FT</t>
  </si>
  <si>
    <t>GV</t>
  </si>
  <si>
    <t>GV</t>
  </si>
  <si>
    <t>FT</t>
  </si>
  <si>
    <t>FT</t>
  </si>
  <si>
    <t>GV</t>
  </si>
  <si>
    <t>GV</t>
  </si>
  <si>
    <t>FT</t>
  </si>
  <si>
    <t>GV</t>
  </si>
  <si>
    <t>GV</t>
  </si>
  <si>
    <t>FT</t>
  </si>
  <si>
    <t>ST</t>
  </si>
  <si>
    <t>FT</t>
  </si>
  <si>
    <t>ST</t>
  </si>
  <si>
    <t>FT</t>
  </si>
  <si>
    <t>GV</t>
  </si>
  <si>
    <t>GV</t>
  </si>
  <si>
    <t>FT</t>
  </si>
  <si>
    <t>FT</t>
  </si>
  <si>
    <t>FT</t>
  </si>
  <si>
    <t>GV</t>
  </si>
  <si>
    <t>ST</t>
  </si>
  <si>
    <t>FT</t>
  </si>
  <si>
    <t>GV</t>
  </si>
  <si>
    <t>AC</t>
  </si>
  <si>
    <t>FT</t>
  </si>
  <si>
    <t>ST</t>
  </si>
  <si>
    <t>GV</t>
  </si>
  <si>
    <t>FT</t>
  </si>
  <si>
    <t>GV</t>
  </si>
  <si>
    <t>ST</t>
  </si>
  <si>
    <t>GV</t>
  </si>
  <si>
    <t>GV</t>
  </si>
  <si>
    <t>FT</t>
  </si>
  <si>
    <t>GV</t>
  </si>
  <si>
    <t>ST</t>
  </si>
  <si>
    <t>GV</t>
  </si>
  <si>
    <t>FT</t>
  </si>
  <si>
    <t>ST</t>
  </si>
  <si>
    <t>GV</t>
  </si>
  <si>
    <t>GV</t>
  </si>
  <si>
    <t>FT</t>
  </si>
  <si>
    <t>GV</t>
  </si>
  <si>
    <t>FT</t>
  </si>
  <si>
    <t>GV</t>
  </si>
  <si>
    <t>GV</t>
  </si>
  <si>
    <t>GV</t>
  </si>
  <si>
    <t>GV</t>
  </si>
  <si>
    <t>PVC</t>
  </si>
  <si>
    <t>ST</t>
  </si>
  <si>
    <t>GV</t>
  </si>
  <si>
    <t>ST</t>
  </si>
  <si>
    <t>GV</t>
  </si>
  <si>
    <t>FT</t>
  </si>
  <si>
    <t>GV</t>
  </si>
  <si>
    <t>PVC</t>
  </si>
  <si>
    <t>AC</t>
  </si>
  <si>
    <t>GV</t>
  </si>
  <si>
    <t>GV</t>
  </si>
  <si>
    <t>FT</t>
  </si>
  <si>
    <t>ST</t>
  </si>
  <si>
    <t>ST</t>
  </si>
  <si>
    <t>GV</t>
  </si>
  <si>
    <t>GV</t>
  </si>
  <si>
    <t>ST</t>
  </si>
  <si>
    <t>GV</t>
  </si>
  <si>
    <t>ST</t>
  </si>
  <si>
    <t>ST</t>
  </si>
  <si>
    <t>GV</t>
  </si>
  <si>
    <t>GV</t>
  </si>
  <si>
    <t>FT</t>
  </si>
  <si>
    <t>FT</t>
  </si>
  <si>
    <t>ST</t>
  </si>
  <si>
    <t>FT</t>
  </si>
  <si>
    <t>GV</t>
  </si>
  <si>
    <t>FT</t>
  </si>
  <si>
    <t>FT</t>
  </si>
  <si>
    <t>GV</t>
  </si>
  <si>
    <t>ST</t>
  </si>
  <si>
    <t>GV</t>
  </si>
  <si>
    <t>GV</t>
  </si>
  <si>
    <t>FT</t>
  </si>
  <si>
    <t>GV</t>
  </si>
  <si>
    <t>FT</t>
  </si>
  <si>
    <t>Couche de base</t>
  </si>
  <si>
    <t>Revêtement de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</si>
</sst>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0" fontId="0" fillId="0" borderId="0" xfId="3" applyNumberFormat="1" applyFont="1"/>
    <xf numFmtId="165" fontId="0" fillId="0" borderId="0" xfId="1" applyFont="1"/>
    <xf numFmtId="165" fontId="0" fillId="0" borderId="0" xfId="0" applyNumberFormat="1"/>
    <xf numFmtId="0" fontId="0" fillId="4" borderId="1" xfId="0" applyFill="1" applyBorder="1"/>
    <xf numFmtId="0" fontId="0" fillId="3" borderId="1" xfId="0" applyFill="1" applyBorder="1"/>
    <xf numFmtId="165" fontId="0" fillId="3" borderId="0" xfId="1" applyFont="1" applyFill="1"/>
    <xf numFmtId="165" fontId="0" fillId="3" borderId="0" xfId="2" applyNumberFormat="1" applyFont="1" applyFill="1" applyBorder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9" fontId="0" fillId="0" borderId="0" xfId="0" applyNumberFormat="1"/>
    <xf numFmtId="165" fontId="0" fillId="3" borderId="2" xfId="1" applyFont="1" applyFill="1" applyBorder="1"/>
    <xf numFmtId="165" fontId="0" fillId="3" borderId="3" xfId="1" applyFont="1" applyFill="1" applyBorder="1"/>
    <xf numFmtId="164" fontId="0" fillId="0" borderId="0" xfId="2" applyFont="1"/>
    <xf numFmtId="0" fontId="2" fillId="0" borderId="0" xfId="0" applyFont="1"/>
    <xf numFmtId="0" fontId="0" fillId="5" borderId="1" xfId="0" applyFill="1" applyBorder="1"/>
    <xf numFmtId="165" fontId="0" fillId="0" borderId="4" xfId="1" applyFont="1" applyBorder="1"/>
    <xf numFmtId="165" fontId="0" fillId="3" borderId="4" xfId="1" applyFont="1" applyFill="1" applyBorder="1"/>
    <xf numFmtId="164" fontId="0" fillId="0" borderId="0" xfId="0" applyNumberFormat="1"/>
    <xf numFmtId="165" fontId="0" fillId="3" borderId="1" xfId="1" applyFont="1" applyFill="1" applyBorder="1"/>
    <xf numFmtId="0" fontId="0" fillId="6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8" xfId="0" applyFill="1" applyBorder="1" applyAlignment="1">
      <alignment horizontal="center" wrapText="1"/>
    </xf>
    <xf numFmtId="165" fontId="0" fillId="3" borderId="5" xfId="2" applyNumberFormat="1" applyFont="1" applyFill="1" applyBorder="1"/>
    <xf numFmtId="165" fontId="0" fillId="3" borderId="5" xfId="1" applyFont="1" applyFill="1" applyBorder="1"/>
    <xf numFmtId="0" fontId="0" fillId="3" borderId="5" xfId="0" applyFill="1" applyBorder="1"/>
    <xf numFmtId="165" fontId="0" fillId="0" borderId="4" xfId="0" applyNumberFormat="1" applyBorder="1"/>
    <xf numFmtId="9" fontId="0" fillId="2" borderId="0" xfId="3" applyFont="1" applyFill="1" applyAlignment="1">
      <alignment horizontal="center" wrapText="1"/>
    </xf>
    <xf numFmtId="9" fontId="0" fillId="0" borderId="0" xfId="3" applyFont="1"/>
    <xf numFmtId="164" fontId="0" fillId="7" borderId="0" xfId="0" applyNumberFormat="1" applyFill="1"/>
    <xf numFmtId="165" fontId="0" fillId="7" borderId="0" xfId="0" applyNumberFormat="1" applyFill="1"/>
    <xf numFmtId="165" fontId="0" fillId="0" borderId="0" xfId="1" applyFont="1" applyBorder="1"/>
    <xf numFmtId="0" fontId="0" fillId="6" borderId="0" xfId="0" applyFill="1"/>
    <xf numFmtId="166" fontId="0" fillId="6" borderId="0" xfId="1" applyNumberFormat="1" applyFont="1" applyFill="1" applyBorder="1"/>
    <xf numFmtId="166" fontId="0" fillId="0" borderId="0" xfId="0" applyNumberFormat="1"/>
    <xf numFmtId="166" fontId="0" fillId="0" borderId="0" xfId="1" applyNumberFormat="1" applyFont="1"/>
    <xf numFmtId="0" fontId="4" fillId="8" borderId="0" xfId="0" applyFont="1" applyFill="1"/>
    <xf numFmtId="164" fontId="4" fillId="8" borderId="0" xfId="0" applyNumberFormat="1" applyFont="1" applyFill="1"/>
    <xf numFmtId="165" fontId="2" fillId="7" borderId="0" xfId="0" applyNumberFormat="1" applyFont="1" applyFill="1"/>
    <xf numFmtId="0" fontId="2" fillId="8" borderId="0" xfId="0" applyFont="1" applyFill="1"/>
    <xf numFmtId="165" fontId="2" fillId="8" borderId="0" xfId="1" applyFont="1" applyFill="1"/>
    <xf numFmtId="9" fontId="0" fillId="0" borderId="0" xfId="0" quotePrefix="1" applyNumberFormat="1"/>
    <xf numFmtId="165" fontId="0" fillId="9" borderId="0" xfId="1" applyFont="1" applyFill="1"/>
    <xf numFmtId="9" fontId="0" fillId="9" borderId="0" xfId="1" applyNumberFormat="1" applyFont="1" applyFill="1"/>
    <xf numFmtId="0" fontId="0" fillId="0" borderId="0" xfId="0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3A3"/>
        </patternFill>
      </fill>
    </dxf>
  </dxfs>
  <tableStyles count="0" defaultTableStyle="TableStyleMedium2" defaultPivotStyle="PivotStyleLight16"/>
  <colors>
    <mruColors>
      <color rgb="FFFFA3A3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'Dépenses prévues - égouts'!$C$5:$CX$5</c:f>
              <c:numCache>
                <c:formatCode>_(* #,##0.00_);_(* \(#,##0.00\);_(* "-"??_);_(@_)</c:formatCode>
                <c:ptCount val="100"/>
                <c:pt idx="0">
                  <c:v>42380.100000000006</c:v>
                </c:pt>
                <c:pt idx="1">
                  <c:v>0</c:v>
                </c:pt>
                <c:pt idx="2">
                  <c:v>41738.400000000001</c:v>
                </c:pt>
                <c:pt idx="3">
                  <c:v>0</c:v>
                </c:pt>
                <c:pt idx="4">
                  <c:v>54474.75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151920.15</c:v>
                </c:pt>
                <c:pt idx="10">
                  <c:v>0</c:v>
                </c:pt>
                <c:pt idx="11">
                  <c:v>170785.2</c:v>
                </c:pt>
                <c:pt idx="12">
                  <c:v>539362.80000000005</c:v>
                </c:pt>
                <c:pt idx="13">
                  <c:v>118235.55</c:v>
                </c:pt>
                <c:pt idx="14">
                  <c:v>599682.6</c:v>
                </c:pt>
                <c:pt idx="15">
                  <c:v>352302.6</c:v>
                </c:pt>
                <c:pt idx="16">
                  <c:v>353460.44999999995</c:v>
                </c:pt>
                <c:pt idx="17">
                  <c:v>287002.64999999997</c:v>
                </c:pt>
                <c:pt idx="18">
                  <c:v>207748.05</c:v>
                </c:pt>
                <c:pt idx="19">
                  <c:v>644959.65</c:v>
                </c:pt>
                <c:pt idx="20">
                  <c:v>105438.75</c:v>
                </c:pt>
                <c:pt idx="21">
                  <c:v>777577.64999999991</c:v>
                </c:pt>
                <c:pt idx="22">
                  <c:v>133436.4</c:v>
                </c:pt>
                <c:pt idx="23">
                  <c:v>150027.6</c:v>
                </c:pt>
                <c:pt idx="24">
                  <c:v>181917.3</c:v>
                </c:pt>
                <c:pt idx="25">
                  <c:v>199954.65000000002</c:v>
                </c:pt>
                <c:pt idx="26">
                  <c:v>0</c:v>
                </c:pt>
                <c:pt idx="27">
                  <c:v>0</c:v>
                </c:pt>
                <c:pt idx="28">
                  <c:v>660114</c:v>
                </c:pt>
                <c:pt idx="29">
                  <c:v>383820.29999999993</c:v>
                </c:pt>
                <c:pt idx="30">
                  <c:v>470533.5</c:v>
                </c:pt>
                <c:pt idx="31">
                  <c:v>359626.35000000003</c:v>
                </c:pt>
                <c:pt idx="32">
                  <c:v>482488.65</c:v>
                </c:pt>
                <c:pt idx="33">
                  <c:v>157755.89999999997</c:v>
                </c:pt>
                <c:pt idx="34">
                  <c:v>594242.1</c:v>
                </c:pt>
                <c:pt idx="35">
                  <c:v>360640.05</c:v>
                </c:pt>
                <c:pt idx="36">
                  <c:v>99844.799999999988</c:v>
                </c:pt>
                <c:pt idx="37">
                  <c:v>366996.60000000003</c:v>
                </c:pt>
                <c:pt idx="38">
                  <c:v>735802.04999999981</c:v>
                </c:pt>
                <c:pt idx="39">
                  <c:v>433431.14999999997</c:v>
                </c:pt>
                <c:pt idx="40">
                  <c:v>489812.40000000008</c:v>
                </c:pt>
                <c:pt idx="41">
                  <c:v>353372.1</c:v>
                </c:pt>
                <c:pt idx="42">
                  <c:v>391502.10000000003</c:v>
                </c:pt>
                <c:pt idx="43">
                  <c:v>371521.05</c:v>
                </c:pt>
                <c:pt idx="44">
                  <c:v>377296.35</c:v>
                </c:pt>
                <c:pt idx="45">
                  <c:v>107391.75</c:v>
                </c:pt>
                <c:pt idx="46">
                  <c:v>218605.8</c:v>
                </c:pt>
                <c:pt idx="47">
                  <c:v>547249.19999999995</c:v>
                </c:pt>
                <c:pt idx="48">
                  <c:v>375343.35</c:v>
                </c:pt>
                <c:pt idx="49">
                  <c:v>115417.65</c:v>
                </c:pt>
                <c:pt idx="50">
                  <c:v>349154.55</c:v>
                </c:pt>
                <c:pt idx="51">
                  <c:v>36828</c:v>
                </c:pt>
                <c:pt idx="52">
                  <c:v>207915.45</c:v>
                </c:pt>
                <c:pt idx="53">
                  <c:v>203702.55</c:v>
                </c:pt>
                <c:pt idx="54">
                  <c:v>128005.2</c:v>
                </c:pt>
                <c:pt idx="55">
                  <c:v>0</c:v>
                </c:pt>
                <c:pt idx="56">
                  <c:v>241595.4</c:v>
                </c:pt>
                <c:pt idx="57">
                  <c:v>213611.7</c:v>
                </c:pt>
                <c:pt idx="58">
                  <c:v>0</c:v>
                </c:pt>
                <c:pt idx="59">
                  <c:v>233397.44999999995</c:v>
                </c:pt>
                <c:pt idx="60">
                  <c:v>395045.39999999997</c:v>
                </c:pt>
                <c:pt idx="61">
                  <c:v>212616.59999999998</c:v>
                </c:pt>
                <c:pt idx="62">
                  <c:v>295470.30000000005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42380.100000000006</c:v>
                </c:pt>
                <c:pt idx="71">
                  <c:v>0</c:v>
                </c:pt>
                <c:pt idx="72">
                  <c:v>41738.400000000001</c:v>
                </c:pt>
                <c:pt idx="73">
                  <c:v>0</c:v>
                </c:pt>
                <c:pt idx="74">
                  <c:v>54474.75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170785.2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61263.75</c:v>
                </c:pt>
                <c:pt idx="89">
                  <c:v>151920.15</c:v>
                </c:pt>
                <c:pt idx="90">
                  <c:v>0</c:v>
                </c:pt>
                <c:pt idx="91">
                  <c:v>0</c:v>
                </c:pt>
                <c:pt idx="92">
                  <c:v>539362.80000000005</c:v>
                </c:pt>
                <c:pt idx="93">
                  <c:v>218675.55</c:v>
                </c:pt>
                <c:pt idx="94">
                  <c:v>599682.6</c:v>
                </c:pt>
                <c:pt idx="95">
                  <c:v>434705.25</c:v>
                </c:pt>
                <c:pt idx="96">
                  <c:v>353460.44999999995</c:v>
                </c:pt>
                <c:pt idx="97">
                  <c:v>287002.64999999997</c:v>
                </c:pt>
                <c:pt idx="98">
                  <c:v>246956.84999999998</c:v>
                </c:pt>
                <c:pt idx="99">
                  <c:v>502925.4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4-49BD-AFD2-21890DF18CC9}"/>
            </c:ext>
          </c:extLst>
        </c:ser>
        <c:ser>
          <c:idx val="1"/>
          <c:order val="1"/>
          <c:tx>
            <c:v>Financement durable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'Dépenses prévues - égouts'!$C$7:$CX$7</c:f>
              <c:numCache>
                <c:formatCode>_(* #,##0.00_);_(* \(#,##0.00\);_(* "-"??_);_(@_)</c:formatCode>
                <c:ptCount val="100"/>
                <c:pt idx="0">
                  <c:v>197878.89</c:v>
                </c:pt>
                <c:pt idx="1">
                  <c:v>197878.89</c:v>
                </c:pt>
                <c:pt idx="2">
                  <c:v>197878.89</c:v>
                </c:pt>
                <c:pt idx="3">
                  <c:v>197878.89</c:v>
                </c:pt>
                <c:pt idx="4">
                  <c:v>197878.89</c:v>
                </c:pt>
                <c:pt idx="5">
                  <c:v>197878.89</c:v>
                </c:pt>
                <c:pt idx="6">
                  <c:v>197878.89</c:v>
                </c:pt>
                <c:pt idx="7">
                  <c:v>197878.89</c:v>
                </c:pt>
                <c:pt idx="8">
                  <c:v>197878.89</c:v>
                </c:pt>
                <c:pt idx="9">
                  <c:v>197878.89</c:v>
                </c:pt>
                <c:pt idx="10">
                  <c:v>197878.89</c:v>
                </c:pt>
                <c:pt idx="11">
                  <c:v>197878.89</c:v>
                </c:pt>
                <c:pt idx="12">
                  <c:v>197878.89</c:v>
                </c:pt>
                <c:pt idx="13">
                  <c:v>197878.89</c:v>
                </c:pt>
                <c:pt idx="14">
                  <c:v>197878.89</c:v>
                </c:pt>
                <c:pt idx="15">
                  <c:v>197878.89</c:v>
                </c:pt>
                <c:pt idx="16">
                  <c:v>197878.89</c:v>
                </c:pt>
                <c:pt idx="17">
                  <c:v>197878.89</c:v>
                </c:pt>
                <c:pt idx="18">
                  <c:v>197878.89</c:v>
                </c:pt>
                <c:pt idx="19">
                  <c:v>197878.89</c:v>
                </c:pt>
                <c:pt idx="20">
                  <c:v>197878.89</c:v>
                </c:pt>
                <c:pt idx="21">
                  <c:v>197878.89</c:v>
                </c:pt>
                <c:pt idx="22">
                  <c:v>197878.89</c:v>
                </c:pt>
                <c:pt idx="23">
                  <c:v>197878.89</c:v>
                </c:pt>
                <c:pt idx="24">
                  <c:v>197878.89</c:v>
                </c:pt>
                <c:pt idx="25">
                  <c:v>197878.89</c:v>
                </c:pt>
                <c:pt idx="26">
                  <c:v>197878.89</c:v>
                </c:pt>
                <c:pt idx="27">
                  <c:v>197878.89</c:v>
                </c:pt>
                <c:pt idx="28">
                  <c:v>197878.89</c:v>
                </c:pt>
                <c:pt idx="29">
                  <c:v>197878.89</c:v>
                </c:pt>
                <c:pt idx="30">
                  <c:v>197878.89</c:v>
                </c:pt>
                <c:pt idx="31">
                  <c:v>197878.89</c:v>
                </c:pt>
                <c:pt idx="32">
                  <c:v>197878.89</c:v>
                </c:pt>
                <c:pt idx="33">
                  <c:v>197878.89</c:v>
                </c:pt>
                <c:pt idx="34">
                  <c:v>197878.89</c:v>
                </c:pt>
                <c:pt idx="35">
                  <c:v>197878.89</c:v>
                </c:pt>
                <c:pt idx="36">
                  <c:v>197878.89</c:v>
                </c:pt>
                <c:pt idx="37">
                  <c:v>197878.89</c:v>
                </c:pt>
                <c:pt idx="38">
                  <c:v>197878.89</c:v>
                </c:pt>
                <c:pt idx="39">
                  <c:v>197878.89</c:v>
                </c:pt>
                <c:pt idx="40">
                  <c:v>197878.89</c:v>
                </c:pt>
                <c:pt idx="41">
                  <c:v>197878.89</c:v>
                </c:pt>
                <c:pt idx="42">
                  <c:v>197878.89</c:v>
                </c:pt>
                <c:pt idx="43">
                  <c:v>197878.89</c:v>
                </c:pt>
                <c:pt idx="44">
                  <c:v>197878.89</c:v>
                </c:pt>
                <c:pt idx="45">
                  <c:v>197878.89</c:v>
                </c:pt>
                <c:pt idx="46">
                  <c:v>197878.89</c:v>
                </c:pt>
                <c:pt idx="47">
                  <c:v>197878.89</c:v>
                </c:pt>
                <c:pt idx="48">
                  <c:v>197878.89</c:v>
                </c:pt>
                <c:pt idx="49">
                  <c:v>197878.89</c:v>
                </c:pt>
                <c:pt idx="50">
                  <c:v>197878.89</c:v>
                </c:pt>
                <c:pt idx="51">
                  <c:v>197878.89</c:v>
                </c:pt>
                <c:pt idx="52">
                  <c:v>197878.89</c:v>
                </c:pt>
                <c:pt idx="53">
                  <c:v>197878.89</c:v>
                </c:pt>
                <c:pt idx="54">
                  <c:v>197878.89</c:v>
                </c:pt>
                <c:pt idx="55">
                  <c:v>197878.89</c:v>
                </c:pt>
                <c:pt idx="56">
                  <c:v>197878.89</c:v>
                </c:pt>
                <c:pt idx="57">
                  <c:v>197878.89</c:v>
                </c:pt>
                <c:pt idx="58">
                  <c:v>197878.89</c:v>
                </c:pt>
                <c:pt idx="59">
                  <c:v>197878.89</c:v>
                </c:pt>
                <c:pt idx="60">
                  <c:v>197878.89</c:v>
                </c:pt>
                <c:pt idx="61">
                  <c:v>197878.89</c:v>
                </c:pt>
                <c:pt idx="62">
                  <c:v>197878.89</c:v>
                </c:pt>
                <c:pt idx="63">
                  <c:v>197878.89</c:v>
                </c:pt>
                <c:pt idx="64">
                  <c:v>197878.89</c:v>
                </c:pt>
                <c:pt idx="65">
                  <c:v>197878.89</c:v>
                </c:pt>
                <c:pt idx="66">
                  <c:v>197878.89</c:v>
                </c:pt>
                <c:pt idx="67">
                  <c:v>197878.89</c:v>
                </c:pt>
                <c:pt idx="68">
                  <c:v>197878.89</c:v>
                </c:pt>
                <c:pt idx="69">
                  <c:v>197878.89</c:v>
                </c:pt>
                <c:pt idx="70">
                  <c:v>197878.89</c:v>
                </c:pt>
                <c:pt idx="71">
                  <c:v>197878.89</c:v>
                </c:pt>
                <c:pt idx="72">
                  <c:v>197878.89</c:v>
                </c:pt>
                <c:pt idx="73">
                  <c:v>197878.89</c:v>
                </c:pt>
                <c:pt idx="74">
                  <c:v>197878.89</c:v>
                </c:pt>
                <c:pt idx="75">
                  <c:v>197878.89</c:v>
                </c:pt>
                <c:pt idx="76">
                  <c:v>197878.89</c:v>
                </c:pt>
                <c:pt idx="77">
                  <c:v>197878.89</c:v>
                </c:pt>
                <c:pt idx="78">
                  <c:v>197878.89</c:v>
                </c:pt>
                <c:pt idx="79">
                  <c:v>197878.89</c:v>
                </c:pt>
                <c:pt idx="80">
                  <c:v>197878.89</c:v>
                </c:pt>
                <c:pt idx="81">
                  <c:v>197878.89</c:v>
                </c:pt>
                <c:pt idx="82">
                  <c:v>197878.89</c:v>
                </c:pt>
                <c:pt idx="83">
                  <c:v>197878.89</c:v>
                </c:pt>
                <c:pt idx="84">
                  <c:v>197878.89</c:v>
                </c:pt>
                <c:pt idx="85">
                  <c:v>197878.89</c:v>
                </c:pt>
                <c:pt idx="86">
                  <c:v>197878.89</c:v>
                </c:pt>
                <c:pt idx="87">
                  <c:v>197878.89</c:v>
                </c:pt>
                <c:pt idx="88">
                  <c:v>197878.89</c:v>
                </c:pt>
                <c:pt idx="89">
                  <c:v>197878.89</c:v>
                </c:pt>
                <c:pt idx="90">
                  <c:v>197878.89</c:v>
                </c:pt>
                <c:pt idx="91">
                  <c:v>197878.89</c:v>
                </c:pt>
                <c:pt idx="92">
                  <c:v>197878.89</c:v>
                </c:pt>
                <c:pt idx="93">
                  <c:v>197878.89</c:v>
                </c:pt>
                <c:pt idx="94">
                  <c:v>197878.89</c:v>
                </c:pt>
                <c:pt idx="95">
                  <c:v>197878.89</c:v>
                </c:pt>
                <c:pt idx="96">
                  <c:v>197878.89</c:v>
                </c:pt>
                <c:pt idx="97">
                  <c:v>197878.89</c:v>
                </c:pt>
                <c:pt idx="98">
                  <c:v>197878.89</c:v>
                </c:pt>
                <c:pt idx="99">
                  <c:v>197878.89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4-49BD-AFD2-21890DF1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746584"/>
        <c:axId val="604746944"/>
      </c:lineChart>
      <c:catAx>
        <c:axId val="604746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746944"/>
        <c:crosses val="autoZero"/>
        <c:auto val="1"/>
        <c:lblAlgn val="ctr"/>
        <c:lblOffset val="100"/>
        <c:noMultiLvlLbl val="0"/>
      </c:catAx>
      <c:valAx>
        <c:axId val="6047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74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Financement actuel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'Dépenses prévues - égouts'!$C$32:$CX$32</c:f>
              <c:numCache>
                <c:formatCode>General</c:formatCode>
                <c:ptCount val="10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  <c:pt idx="51">
                  <c:v>2075</c:v>
                </c:pt>
                <c:pt idx="52">
                  <c:v>2076</c:v>
                </c:pt>
                <c:pt idx="53">
                  <c:v>2077</c:v>
                </c:pt>
                <c:pt idx="54">
                  <c:v>2078</c:v>
                </c:pt>
                <c:pt idx="55">
                  <c:v>2079</c:v>
                </c:pt>
                <c:pt idx="56">
                  <c:v>2080</c:v>
                </c:pt>
                <c:pt idx="57">
                  <c:v>2081</c:v>
                </c:pt>
                <c:pt idx="58">
                  <c:v>2082</c:v>
                </c:pt>
                <c:pt idx="59">
                  <c:v>2083</c:v>
                </c:pt>
                <c:pt idx="60">
                  <c:v>2084</c:v>
                </c:pt>
                <c:pt idx="61">
                  <c:v>2085</c:v>
                </c:pt>
                <c:pt idx="62">
                  <c:v>2086</c:v>
                </c:pt>
                <c:pt idx="63">
                  <c:v>2087</c:v>
                </c:pt>
                <c:pt idx="64">
                  <c:v>2088</c:v>
                </c:pt>
                <c:pt idx="65">
                  <c:v>2089</c:v>
                </c:pt>
                <c:pt idx="66">
                  <c:v>2090</c:v>
                </c:pt>
                <c:pt idx="67">
                  <c:v>2091</c:v>
                </c:pt>
                <c:pt idx="68">
                  <c:v>2092</c:v>
                </c:pt>
                <c:pt idx="69">
                  <c:v>2093</c:v>
                </c:pt>
                <c:pt idx="70">
                  <c:v>2094</c:v>
                </c:pt>
                <c:pt idx="71">
                  <c:v>2095</c:v>
                </c:pt>
                <c:pt idx="72">
                  <c:v>2096</c:v>
                </c:pt>
                <c:pt idx="73">
                  <c:v>2097</c:v>
                </c:pt>
                <c:pt idx="74">
                  <c:v>2098</c:v>
                </c:pt>
                <c:pt idx="75">
                  <c:v>2099</c:v>
                </c:pt>
                <c:pt idx="76">
                  <c:v>2100</c:v>
                </c:pt>
                <c:pt idx="77">
                  <c:v>2101</c:v>
                </c:pt>
                <c:pt idx="78">
                  <c:v>2102</c:v>
                </c:pt>
                <c:pt idx="79">
                  <c:v>2103</c:v>
                </c:pt>
                <c:pt idx="80">
                  <c:v>2104</c:v>
                </c:pt>
                <c:pt idx="81">
                  <c:v>2105</c:v>
                </c:pt>
                <c:pt idx="82">
                  <c:v>2106</c:v>
                </c:pt>
                <c:pt idx="83">
                  <c:v>2107</c:v>
                </c:pt>
                <c:pt idx="84">
                  <c:v>2108</c:v>
                </c:pt>
                <c:pt idx="85">
                  <c:v>2109</c:v>
                </c:pt>
                <c:pt idx="86">
                  <c:v>2110</c:v>
                </c:pt>
                <c:pt idx="87">
                  <c:v>2111</c:v>
                </c:pt>
                <c:pt idx="88">
                  <c:v>2112</c:v>
                </c:pt>
                <c:pt idx="89">
                  <c:v>2113</c:v>
                </c:pt>
                <c:pt idx="90">
                  <c:v>2114</c:v>
                </c:pt>
                <c:pt idx="91">
                  <c:v>2115</c:v>
                </c:pt>
                <c:pt idx="92">
                  <c:v>2116</c:v>
                </c:pt>
                <c:pt idx="93">
                  <c:v>2117</c:v>
                </c:pt>
                <c:pt idx="94">
                  <c:v>2118</c:v>
                </c:pt>
                <c:pt idx="95">
                  <c:v>2119</c:v>
                </c:pt>
                <c:pt idx="96">
                  <c:v>2120</c:v>
                </c:pt>
                <c:pt idx="97">
                  <c:v>2121</c:v>
                </c:pt>
                <c:pt idx="98">
                  <c:v>2122</c:v>
                </c:pt>
                <c:pt idx="99">
                  <c:v>2123</c:v>
                </c:pt>
              </c:numCache>
            </c:numRef>
          </c:cat>
          <c:val>
            <c:numRef>
              <c:f>'Dépenses prévues - égouts'!$C$30:$CX$30</c:f>
              <c:numCache>
                <c:formatCode>_(* #,##0.00_);_(* \(#,##0.00\);_(* "-"??_);_(@_)</c:formatCode>
                <c:ptCount val="100"/>
                <c:pt idx="0">
                  <c:v>567619.9</c:v>
                </c:pt>
                <c:pt idx="1">
                  <c:v>677619.9</c:v>
                </c:pt>
                <c:pt idx="2">
                  <c:v>745881.5</c:v>
                </c:pt>
                <c:pt idx="3">
                  <c:v>855881.5</c:v>
                </c:pt>
                <c:pt idx="4">
                  <c:v>911406.75</c:v>
                </c:pt>
                <c:pt idx="5">
                  <c:v>1021406.75</c:v>
                </c:pt>
                <c:pt idx="6">
                  <c:v>1131406.75</c:v>
                </c:pt>
                <c:pt idx="7">
                  <c:v>1241406.75</c:v>
                </c:pt>
                <c:pt idx="8">
                  <c:v>1351406.75</c:v>
                </c:pt>
                <c:pt idx="9">
                  <c:v>1309486.6000000001</c:v>
                </c:pt>
                <c:pt idx="10">
                  <c:v>1419486.6</c:v>
                </c:pt>
                <c:pt idx="11">
                  <c:v>1358701.4000000001</c:v>
                </c:pt>
                <c:pt idx="12">
                  <c:v>929338.60000000009</c:v>
                </c:pt>
                <c:pt idx="13">
                  <c:v>921103.05</c:v>
                </c:pt>
                <c:pt idx="14">
                  <c:v>431420.45000000007</c:v>
                </c:pt>
                <c:pt idx="15">
                  <c:v>189117.85000000009</c:v>
                </c:pt>
                <c:pt idx="16">
                  <c:v>-54342.59999999986</c:v>
                </c:pt>
                <c:pt idx="17">
                  <c:v>-231345.24999999983</c:v>
                </c:pt>
                <c:pt idx="18">
                  <c:v>-329093.29999999981</c:v>
                </c:pt>
                <c:pt idx="19">
                  <c:v>-864052.94999999984</c:v>
                </c:pt>
                <c:pt idx="20">
                  <c:v>-859491.69999999984</c:v>
                </c:pt>
                <c:pt idx="21">
                  <c:v>-1527069.3499999996</c:v>
                </c:pt>
                <c:pt idx="22">
                  <c:v>-1550505.7499999995</c:v>
                </c:pt>
                <c:pt idx="23">
                  <c:v>-1590533.3499999996</c:v>
                </c:pt>
                <c:pt idx="24">
                  <c:v>-1662450.6499999997</c:v>
                </c:pt>
                <c:pt idx="25">
                  <c:v>-1752405.2999999998</c:v>
                </c:pt>
                <c:pt idx="26">
                  <c:v>-1642405.2999999998</c:v>
                </c:pt>
                <c:pt idx="27">
                  <c:v>-1532405.2999999998</c:v>
                </c:pt>
                <c:pt idx="28">
                  <c:v>-2082519.2999999998</c:v>
                </c:pt>
                <c:pt idx="29">
                  <c:v>-2356339.5999999996</c:v>
                </c:pt>
                <c:pt idx="30">
                  <c:v>-2716873.0999999996</c:v>
                </c:pt>
                <c:pt idx="31">
                  <c:v>-2966499.4499999997</c:v>
                </c:pt>
                <c:pt idx="32">
                  <c:v>-3338988.0999999996</c:v>
                </c:pt>
                <c:pt idx="33">
                  <c:v>-3386743.9999999995</c:v>
                </c:pt>
                <c:pt idx="34">
                  <c:v>-3870986.0999999996</c:v>
                </c:pt>
                <c:pt idx="35">
                  <c:v>-4121626.1499999994</c:v>
                </c:pt>
                <c:pt idx="36">
                  <c:v>-4111470.9499999993</c:v>
                </c:pt>
                <c:pt idx="37">
                  <c:v>-4368467.5499999989</c:v>
                </c:pt>
                <c:pt idx="38">
                  <c:v>-4994269.5999999987</c:v>
                </c:pt>
                <c:pt idx="39">
                  <c:v>-5317700.7499999991</c:v>
                </c:pt>
                <c:pt idx="40">
                  <c:v>-5697513.1499999994</c:v>
                </c:pt>
                <c:pt idx="41">
                  <c:v>-5940885.2499999991</c:v>
                </c:pt>
                <c:pt idx="42">
                  <c:v>-6222387.3499999987</c:v>
                </c:pt>
                <c:pt idx="43">
                  <c:v>-6483908.3999999985</c:v>
                </c:pt>
                <c:pt idx="44">
                  <c:v>-6751204.7499999981</c:v>
                </c:pt>
                <c:pt idx="45">
                  <c:v>-6748596.4999999981</c:v>
                </c:pt>
                <c:pt idx="46">
                  <c:v>-6857202.299999998</c:v>
                </c:pt>
                <c:pt idx="47">
                  <c:v>-7294451.4999999981</c:v>
                </c:pt>
                <c:pt idx="48">
                  <c:v>-7559794.8499999978</c:v>
                </c:pt>
                <c:pt idx="49">
                  <c:v>-7565212.4999999981</c:v>
                </c:pt>
                <c:pt idx="50">
                  <c:v>-7804367.049999998</c:v>
                </c:pt>
                <c:pt idx="51">
                  <c:v>-7731195.049999998</c:v>
                </c:pt>
                <c:pt idx="52">
                  <c:v>-7829110.4999999981</c:v>
                </c:pt>
                <c:pt idx="53">
                  <c:v>-7922813.049999998</c:v>
                </c:pt>
                <c:pt idx="54">
                  <c:v>-7940818.2499999981</c:v>
                </c:pt>
                <c:pt idx="55">
                  <c:v>-7830818.2499999981</c:v>
                </c:pt>
                <c:pt idx="56">
                  <c:v>-7962413.6499999985</c:v>
                </c:pt>
                <c:pt idx="57">
                  <c:v>-8066025.3499999987</c:v>
                </c:pt>
                <c:pt idx="58">
                  <c:v>-7956025.3499999987</c:v>
                </c:pt>
                <c:pt idx="59">
                  <c:v>-8079422.7999999989</c:v>
                </c:pt>
                <c:pt idx="60">
                  <c:v>-8364468.1999999993</c:v>
                </c:pt>
                <c:pt idx="61">
                  <c:v>-8467084.7999999989</c:v>
                </c:pt>
                <c:pt idx="62">
                  <c:v>-8652555.0999999996</c:v>
                </c:pt>
                <c:pt idx="63">
                  <c:v>-8542555.0999999996</c:v>
                </c:pt>
                <c:pt idx="64">
                  <c:v>-8432555.0999999996</c:v>
                </c:pt>
                <c:pt idx="65">
                  <c:v>-8322555.0999999996</c:v>
                </c:pt>
                <c:pt idx="66">
                  <c:v>-8212555.0999999996</c:v>
                </c:pt>
                <c:pt idx="67">
                  <c:v>-8102555.0999999996</c:v>
                </c:pt>
                <c:pt idx="68">
                  <c:v>-7992555.0999999996</c:v>
                </c:pt>
                <c:pt idx="69">
                  <c:v>-7882555.0999999996</c:v>
                </c:pt>
                <c:pt idx="70">
                  <c:v>-7814935.1999999993</c:v>
                </c:pt>
                <c:pt idx="71">
                  <c:v>-7704935.1999999993</c:v>
                </c:pt>
                <c:pt idx="72">
                  <c:v>-7636673.5999999996</c:v>
                </c:pt>
                <c:pt idx="73">
                  <c:v>-7526673.5999999996</c:v>
                </c:pt>
                <c:pt idx="74">
                  <c:v>-7471148.3499999996</c:v>
                </c:pt>
                <c:pt idx="75">
                  <c:v>-7361148.3499999996</c:v>
                </c:pt>
                <c:pt idx="76">
                  <c:v>-7251148.3499999996</c:v>
                </c:pt>
                <c:pt idx="77">
                  <c:v>-7141148.3499999996</c:v>
                </c:pt>
                <c:pt idx="78">
                  <c:v>-7031148.3499999996</c:v>
                </c:pt>
                <c:pt idx="79">
                  <c:v>-6921148.3499999996</c:v>
                </c:pt>
                <c:pt idx="80">
                  <c:v>-6811148.3499999996</c:v>
                </c:pt>
                <c:pt idx="81">
                  <c:v>-6871933.5499999998</c:v>
                </c:pt>
                <c:pt idx="82">
                  <c:v>-6761933.5499999998</c:v>
                </c:pt>
                <c:pt idx="83">
                  <c:v>-6651933.5499999998</c:v>
                </c:pt>
                <c:pt idx="84">
                  <c:v>-6541933.5499999998</c:v>
                </c:pt>
                <c:pt idx="85">
                  <c:v>-6431933.5499999998</c:v>
                </c:pt>
                <c:pt idx="86">
                  <c:v>-6321933.5499999998</c:v>
                </c:pt>
                <c:pt idx="87">
                  <c:v>-6211933.5499999998</c:v>
                </c:pt>
                <c:pt idx="88">
                  <c:v>-6163197.2999999998</c:v>
                </c:pt>
                <c:pt idx="89">
                  <c:v>-6205117.4500000002</c:v>
                </c:pt>
                <c:pt idx="90">
                  <c:v>-6095117.4500000002</c:v>
                </c:pt>
                <c:pt idx="91">
                  <c:v>-5985117.4500000002</c:v>
                </c:pt>
                <c:pt idx="92">
                  <c:v>-6414480.25</c:v>
                </c:pt>
                <c:pt idx="93">
                  <c:v>-6523155.7999999998</c:v>
                </c:pt>
                <c:pt idx="94">
                  <c:v>-7012838.3999999994</c:v>
                </c:pt>
                <c:pt idx="95">
                  <c:v>-7337543.6499999994</c:v>
                </c:pt>
                <c:pt idx="96">
                  <c:v>-7581004.0999999996</c:v>
                </c:pt>
                <c:pt idx="97">
                  <c:v>-7758006.75</c:v>
                </c:pt>
                <c:pt idx="98">
                  <c:v>-7894963.5999999996</c:v>
                </c:pt>
                <c:pt idx="99">
                  <c:v>-8287889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D-4D23-8A3E-CC7CDA17FA2F}"/>
            </c:ext>
          </c:extLst>
        </c:ser>
        <c:ser>
          <c:idx val="1"/>
          <c:order val="1"/>
          <c:tx>
            <c:v>Financement durable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'Dépenses prévues - égouts'!$C$32:$CX$32</c:f>
              <c:numCache>
                <c:formatCode>General</c:formatCode>
                <c:ptCount val="10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  <c:pt idx="51">
                  <c:v>2075</c:v>
                </c:pt>
                <c:pt idx="52">
                  <c:v>2076</c:v>
                </c:pt>
                <c:pt idx="53">
                  <c:v>2077</c:v>
                </c:pt>
                <c:pt idx="54">
                  <c:v>2078</c:v>
                </c:pt>
                <c:pt idx="55">
                  <c:v>2079</c:v>
                </c:pt>
                <c:pt idx="56">
                  <c:v>2080</c:v>
                </c:pt>
                <c:pt idx="57">
                  <c:v>2081</c:v>
                </c:pt>
                <c:pt idx="58">
                  <c:v>2082</c:v>
                </c:pt>
                <c:pt idx="59">
                  <c:v>2083</c:v>
                </c:pt>
                <c:pt idx="60">
                  <c:v>2084</c:v>
                </c:pt>
                <c:pt idx="61">
                  <c:v>2085</c:v>
                </c:pt>
                <c:pt idx="62">
                  <c:v>2086</c:v>
                </c:pt>
                <c:pt idx="63">
                  <c:v>2087</c:v>
                </c:pt>
                <c:pt idx="64">
                  <c:v>2088</c:v>
                </c:pt>
                <c:pt idx="65">
                  <c:v>2089</c:v>
                </c:pt>
                <c:pt idx="66">
                  <c:v>2090</c:v>
                </c:pt>
                <c:pt idx="67">
                  <c:v>2091</c:v>
                </c:pt>
                <c:pt idx="68">
                  <c:v>2092</c:v>
                </c:pt>
                <c:pt idx="69">
                  <c:v>2093</c:v>
                </c:pt>
                <c:pt idx="70">
                  <c:v>2094</c:v>
                </c:pt>
                <c:pt idx="71">
                  <c:v>2095</c:v>
                </c:pt>
                <c:pt idx="72">
                  <c:v>2096</c:v>
                </c:pt>
                <c:pt idx="73">
                  <c:v>2097</c:v>
                </c:pt>
                <c:pt idx="74">
                  <c:v>2098</c:v>
                </c:pt>
                <c:pt idx="75">
                  <c:v>2099</c:v>
                </c:pt>
                <c:pt idx="76">
                  <c:v>2100</c:v>
                </c:pt>
                <c:pt idx="77">
                  <c:v>2101</c:v>
                </c:pt>
                <c:pt idx="78">
                  <c:v>2102</c:v>
                </c:pt>
                <c:pt idx="79">
                  <c:v>2103</c:v>
                </c:pt>
                <c:pt idx="80">
                  <c:v>2104</c:v>
                </c:pt>
                <c:pt idx="81">
                  <c:v>2105</c:v>
                </c:pt>
                <c:pt idx="82">
                  <c:v>2106</c:v>
                </c:pt>
                <c:pt idx="83">
                  <c:v>2107</c:v>
                </c:pt>
                <c:pt idx="84">
                  <c:v>2108</c:v>
                </c:pt>
                <c:pt idx="85">
                  <c:v>2109</c:v>
                </c:pt>
                <c:pt idx="86">
                  <c:v>2110</c:v>
                </c:pt>
                <c:pt idx="87">
                  <c:v>2111</c:v>
                </c:pt>
                <c:pt idx="88">
                  <c:v>2112</c:v>
                </c:pt>
                <c:pt idx="89">
                  <c:v>2113</c:v>
                </c:pt>
                <c:pt idx="90">
                  <c:v>2114</c:v>
                </c:pt>
                <c:pt idx="91">
                  <c:v>2115</c:v>
                </c:pt>
                <c:pt idx="92">
                  <c:v>2116</c:v>
                </c:pt>
                <c:pt idx="93">
                  <c:v>2117</c:v>
                </c:pt>
                <c:pt idx="94">
                  <c:v>2118</c:v>
                </c:pt>
                <c:pt idx="95">
                  <c:v>2119</c:v>
                </c:pt>
                <c:pt idx="96">
                  <c:v>2120</c:v>
                </c:pt>
                <c:pt idx="97">
                  <c:v>2121</c:v>
                </c:pt>
                <c:pt idx="98">
                  <c:v>2122</c:v>
                </c:pt>
                <c:pt idx="99">
                  <c:v>2123</c:v>
                </c:pt>
              </c:numCache>
            </c:numRef>
          </c:cat>
          <c:val>
            <c:numRef>
              <c:f>'Dépenses prévues - égouts'!$C$37:$CX$37</c:f>
              <c:numCache>
                <c:formatCode>_(* #,##0.00_);_(* \(#,##0.00\);_(* "-"??_);_(@_)</c:formatCode>
                <c:ptCount val="100"/>
                <c:pt idx="0">
                  <c:v>659983.25830357149</c:v>
                </c:pt>
                <c:pt idx="1">
                  <c:v>862346.61660714296</c:v>
                </c:pt>
                <c:pt idx="2">
                  <c:v>1022971.5749107144</c:v>
                </c:pt>
                <c:pt idx="3">
                  <c:v>1225334.9332142859</c:v>
                </c:pt>
                <c:pt idx="4">
                  <c:v>1373223.5415178572</c:v>
                </c:pt>
                <c:pt idx="5">
                  <c:v>1575586.8998214286</c:v>
                </c:pt>
                <c:pt idx="6">
                  <c:v>1777950.2581249999</c:v>
                </c:pt>
                <c:pt idx="7">
                  <c:v>1980313.6164285713</c:v>
                </c:pt>
                <c:pt idx="8">
                  <c:v>2182676.9747321429</c:v>
                </c:pt>
                <c:pt idx="9">
                  <c:v>2233120.1830357146</c:v>
                </c:pt>
                <c:pt idx="10">
                  <c:v>2435483.5413392861</c:v>
                </c:pt>
                <c:pt idx="11">
                  <c:v>2467061.6996428575</c:v>
                </c:pt>
                <c:pt idx="12">
                  <c:v>2130062.2579464288</c:v>
                </c:pt>
                <c:pt idx="13">
                  <c:v>2214190.0662500006</c:v>
                </c:pt>
                <c:pt idx="14">
                  <c:v>1816870.8245535721</c:v>
                </c:pt>
                <c:pt idx="15">
                  <c:v>1666931.5828571436</c:v>
                </c:pt>
                <c:pt idx="16">
                  <c:v>1515834.491160715</c:v>
                </c:pt>
                <c:pt idx="17">
                  <c:v>1431195.1994642864</c:v>
                </c:pt>
                <c:pt idx="18">
                  <c:v>1425810.5077678578</c:v>
                </c:pt>
                <c:pt idx="19">
                  <c:v>983214.21607142908</c:v>
                </c:pt>
                <c:pt idx="20">
                  <c:v>1080138.8243750005</c:v>
                </c:pt>
                <c:pt idx="21">
                  <c:v>504924.532678572</c:v>
                </c:pt>
                <c:pt idx="22">
                  <c:v>573851.49098214344</c:v>
                </c:pt>
                <c:pt idx="23">
                  <c:v>626187.24928571493</c:v>
                </c:pt>
                <c:pt idx="24">
                  <c:v>646633.30758928647</c:v>
                </c:pt>
                <c:pt idx="25">
                  <c:v>649042.01589285792</c:v>
                </c:pt>
                <c:pt idx="26">
                  <c:v>851405.37419642939</c:v>
                </c:pt>
                <c:pt idx="27">
                  <c:v>1053768.7325000009</c:v>
                </c:pt>
                <c:pt idx="28">
                  <c:v>596018.09080357221</c:v>
                </c:pt>
                <c:pt idx="29">
                  <c:v>414561.14910714375</c:v>
                </c:pt>
                <c:pt idx="30">
                  <c:v>146391.00741071522</c:v>
                </c:pt>
                <c:pt idx="31">
                  <c:v>-10871.984285713348</c:v>
                </c:pt>
                <c:pt idx="32">
                  <c:v>-290997.27598214196</c:v>
                </c:pt>
                <c:pt idx="33">
                  <c:v>-246389.81767857049</c:v>
                </c:pt>
                <c:pt idx="34">
                  <c:v>-638268.55937499902</c:v>
                </c:pt>
                <c:pt idx="35">
                  <c:v>-796545.25107142748</c:v>
                </c:pt>
                <c:pt idx="36">
                  <c:v>-694026.69276785594</c:v>
                </c:pt>
                <c:pt idx="37">
                  <c:v>-858659.93446428445</c:v>
                </c:pt>
                <c:pt idx="38">
                  <c:v>-1392098.6261607129</c:v>
                </c:pt>
                <c:pt idx="39">
                  <c:v>-1623166.4178571415</c:v>
                </c:pt>
                <c:pt idx="40">
                  <c:v>-1910615.4595535703</c:v>
                </c:pt>
                <c:pt idx="41">
                  <c:v>-2061624.201249999</c:v>
                </c:pt>
                <c:pt idx="42">
                  <c:v>-2250762.9429464275</c:v>
                </c:pt>
                <c:pt idx="43">
                  <c:v>-2419920.6346428562</c:v>
                </c:pt>
                <c:pt idx="44">
                  <c:v>-2594853.6263392847</c:v>
                </c:pt>
                <c:pt idx="45">
                  <c:v>-2499882.0180357131</c:v>
                </c:pt>
                <c:pt idx="46">
                  <c:v>-2516124.4597321413</c:v>
                </c:pt>
                <c:pt idx="47">
                  <c:v>-2861010.3014285695</c:v>
                </c:pt>
                <c:pt idx="48">
                  <c:v>-3033990.293124998</c:v>
                </c:pt>
                <c:pt idx="49">
                  <c:v>-2947044.5848214263</c:v>
                </c:pt>
                <c:pt idx="50">
                  <c:v>-3093835.7765178545</c:v>
                </c:pt>
                <c:pt idx="51">
                  <c:v>-2928300.418214283</c:v>
                </c:pt>
                <c:pt idx="52">
                  <c:v>-2933852.5099107116</c:v>
                </c:pt>
                <c:pt idx="53">
                  <c:v>-2935191.7016071398</c:v>
                </c:pt>
                <c:pt idx="54">
                  <c:v>-2860833.5433035684</c:v>
                </c:pt>
                <c:pt idx="55">
                  <c:v>-2658470.1849999968</c:v>
                </c:pt>
                <c:pt idx="56">
                  <c:v>-2697702.2266964251</c:v>
                </c:pt>
                <c:pt idx="57">
                  <c:v>-2708950.5683928537</c:v>
                </c:pt>
                <c:pt idx="58">
                  <c:v>-2506587.2100892821</c:v>
                </c:pt>
                <c:pt idx="59">
                  <c:v>-2537621.3017857103</c:v>
                </c:pt>
                <c:pt idx="60">
                  <c:v>-2730303.3434821386</c:v>
                </c:pt>
                <c:pt idx="61">
                  <c:v>-2740556.5851785671</c:v>
                </c:pt>
                <c:pt idx="62">
                  <c:v>-2833663.5268749958</c:v>
                </c:pt>
                <c:pt idx="63">
                  <c:v>-2631300.1685714242</c:v>
                </c:pt>
                <c:pt idx="64">
                  <c:v>-2428936.8102678526</c:v>
                </c:pt>
                <c:pt idx="65">
                  <c:v>-2226573.451964281</c:v>
                </c:pt>
                <c:pt idx="66">
                  <c:v>-2024210.0936607097</c:v>
                </c:pt>
                <c:pt idx="67">
                  <c:v>-1821846.7353571383</c:v>
                </c:pt>
                <c:pt idx="68">
                  <c:v>-1619483.377053567</c:v>
                </c:pt>
                <c:pt idx="69">
                  <c:v>-1417120.0187499956</c:v>
                </c:pt>
                <c:pt idx="70">
                  <c:v>-1257136.7604464244</c:v>
                </c:pt>
                <c:pt idx="71">
                  <c:v>-1054773.402142853</c:v>
                </c:pt>
                <c:pt idx="72">
                  <c:v>-894148.44383928156</c:v>
                </c:pt>
                <c:pt idx="73">
                  <c:v>-691785.0855357101</c:v>
                </c:pt>
                <c:pt idx="74">
                  <c:v>-543896.47723213863</c:v>
                </c:pt>
                <c:pt idx="75">
                  <c:v>-341533.11892856716</c:v>
                </c:pt>
                <c:pt idx="76">
                  <c:v>-139169.76062499572</c:v>
                </c:pt>
                <c:pt idx="77">
                  <c:v>63193.597678575723</c:v>
                </c:pt>
                <c:pt idx="78">
                  <c:v>265556.95598214713</c:v>
                </c:pt>
                <c:pt idx="79">
                  <c:v>467920.3142857186</c:v>
                </c:pt>
                <c:pt idx="80">
                  <c:v>670283.67258929007</c:v>
                </c:pt>
                <c:pt idx="81">
                  <c:v>701861.83089286159</c:v>
                </c:pt>
                <c:pt idx="82">
                  <c:v>904225.18919643306</c:v>
                </c:pt>
                <c:pt idx="83">
                  <c:v>1106588.5475000045</c:v>
                </c:pt>
                <c:pt idx="84">
                  <c:v>1308951.9058035759</c:v>
                </c:pt>
                <c:pt idx="85">
                  <c:v>1511315.2641071472</c:v>
                </c:pt>
                <c:pt idx="86">
                  <c:v>1713678.6224107186</c:v>
                </c:pt>
                <c:pt idx="87">
                  <c:v>1916041.9807142899</c:v>
                </c:pt>
                <c:pt idx="88">
                  <c:v>2057141.5890178615</c:v>
                </c:pt>
                <c:pt idx="89">
                  <c:v>2107584.7973214332</c:v>
                </c:pt>
                <c:pt idx="90">
                  <c:v>2309948.1556250048</c:v>
                </c:pt>
                <c:pt idx="91">
                  <c:v>2512311.5139285764</c:v>
                </c:pt>
                <c:pt idx="92">
                  <c:v>2175312.0722321477</c:v>
                </c:pt>
                <c:pt idx="93">
                  <c:v>2158999.8805357195</c:v>
                </c:pt>
                <c:pt idx="94">
                  <c:v>1761680.6388392909</c:v>
                </c:pt>
                <c:pt idx="95">
                  <c:v>1529338.7471428623</c:v>
                </c:pt>
                <c:pt idx="96">
                  <c:v>1378241.6554464337</c:v>
                </c:pt>
                <c:pt idx="97">
                  <c:v>1293602.3637500051</c:v>
                </c:pt>
                <c:pt idx="98">
                  <c:v>1249008.8720535766</c:v>
                </c:pt>
                <c:pt idx="99">
                  <c:v>948446.83035714796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D-4D23-8A3E-CC7CDA17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747824"/>
        <c:axId val="753748904"/>
      </c:lineChart>
      <c:catAx>
        <c:axId val="75374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8904"/>
        <c:crosses val="autoZero"/>
        <c:auto val="1"/>
        <c:lblAlgn val="ctr"/>
        <c:lblOffset val="100"/>
        <c:noMultiLvlLbl val="0"/>
      </c:catAx>
      <c:valAx>
        <c:axId val="75374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74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8</xdr:row>
      <xdr:rowOff>10886</xdr:rowOff>
    </xdr:from>
    <xdr:to>
      <xdr:col>8</xdr:col>
      <xdr:colOff>336829</xdr:colOff>
      <xdr:row>22</xdr:row>
      <xdr:rowOff>87086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D6FADE-CCEF-4034-959C-F595F44C3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408214</xdr:colOff>
      <xdr:row>37</xdr:row>
      <xdr:rowOff>171450</xdr:rowOff>
    </xdr:from>
    <xdr:to>
      <xdr:col>6</xdr:col>
      <xdr:colOff>473528</xdr:colOff>
      <xdr:row>52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A67DE4-5576-92D1-14A2-B2A7E023D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opher Paine" id="{2EECFF87-CCC2-49BE-BFA9-13F7BDBB4329}" userId="Christopher Paine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2-10-01T18:40:34.44" personId="{2EECFF87-CCC2-49BE-BFA9-13F7BDBB4329}" id="{4607BAB6-0A36-4E26-89D9-AEB2181CA4E6}">
    <text xml:space="preserve">Note that this is the replacement cost of the road if it was entirely replaced, base, sub base and top. However, the full life-cycle cost of a road is higher because in 1 life cycle it will have its top replaced multiple times potentially.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5424-6791-4823-AE15-573D3A2A8DFD}">
  <dimension ref="A2:K18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9.140625" bestFit="1" customWidth="1"/>
    <col min="2" max="2" width="17" bestFit="1" customWidth="1"/>
    <col min="3" max="3" width="19.140625" bestFit="1" customWidth="1"/>
    <col min="4" max="4" width="16.140625" customWidth="1"/>
    <col min="5" max="5" width="14.85546875" bestFit="1" customWidth="1"/>
    <col min="6" max="6" width="14.5703125" bestFit="1" customWidth="1"/>
    <col min="8" max="8" width="12.140625" bestFit="1" customWidth="1"/>
    <col min="10" max="10" width="11.7109375" customWidth="1"/>
  </cols>
  <sheetData>
    <row r="2" spans="1:11" ht="60" x14ac:dyDescent="0.25">
      <c r="A2" s="14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H2" s="9" t="s">
        <v>6</v>
      </c>
      <c r="I2" s="10">
        <v>1</v>
      </c>
      <c r="J2" s="9" t="s">
        <v>7</v>
      </c>
      <c r="K2" s="10">
        <v>1</v>
      </c>
    </row>
    <row r="3" spans="1:11" x14ac:dyDescent="0.25">
      <c r="A3" t="s">
        <v>8</v>
      </c>
      <c r="B3" s="13">
        <f>'Conduite princ. - égout pluvial'!F252</f>
        <v>21697715</v>
      </c>
      <c r="C3" s="3">
        <f>'Conduite princ. - égout pluvial'!I252</f>
        <v>268248.53869047598</v>
      </c>
      <c r="D3" s="3">
        <f>'Conduite princ. - égout pluvial'!J252</f>
        <v>173874.71565586029</v>
      </c>
      <c r="E3" s="3">
        <f>'Financement actuel'!G19</f>
        <v>219023.35641409951</v>
      </c>
      <c r="F3" s="3">
        <f>C3-E3</f>
        <v>49225.182276376465</v>
      </c>
    </row>
    <row r="4" spans="1:11" x14ac:dyDescent="0.25">
      <c r="A4" t="s">
        <v>9</v>
      </c>
      <c r="B4" s="3">
        <f>Routes!K252</f>
        <v>89018787.034421906</v>
      </c>
      <c r="C4" s="3">
        <f>Routes!S252</f>
        <v>1943063.4969355657</v>
      </c>
      <c r="D4" s="3">
        <f>Routes!T252</f>
        <v>1204602.8334889461</v>
      </c>
      <c r="E4" s="3">
        <f>'Financement actuel'!G20</f>
        <v>1248582.8010088163</v>
      </c>
      <c r="F4" s="3">
        <f>C4-E4</f>
        <v>694480.69592674938</v>
      </c>
    </row>
    <row r="5" spans="1:11" x14ac:dyDescent="0.25">
      <c r="A5" t="s">
        <v>10</v>
      </c>
      <c r="B5" s="3">
        <f>Bâtiments!D14</f>
        <v>52100000</v>
      </c>
      <c r="C5" s="3">
        <f>Bâtiments!G14</f>
        <v>1599473.8095238102</v>
      </c>
      <c r="D5" s="3">
        <f>Bâtiments!H14</f>
        <v>967381.62048964854</v>
      </c>
      <c r="E5" s="3">
        <f>'Financement actuel'!G21</f>
        <v>525913.29866645334</v>
      </c>
      <c r="F5" s="3">
        <f t="shared" ref="F5:F7" si="0">C5-E5</f>
        <v>1073560.5108573567</v>
      </c>
    </row>
    <row r="6" spans="1:11" x14ac:dyDescent="0.25">
      <c r="A6" t="s">
        <v>11</v>
      </c>
      <c r="B6" s="3">
        <f>'Véhicules et équipement'!C26</f>
        <v>5650717</v>
      </c>
      <c r="C6" s="3">
        <f>'Véhicules et équipement'!F26</f>
        <v>324054.49145299144</v>
      </c>
      <c r="D6" s="3">
        <f>'Véhicules et équipement'!G26</f>
        <v>295331.60032669053</v>
      </c>
      <c r="E6" s="3">
        <f>'Financement actuel'!C3+'Financement actuel'!C4+'Financement actuel'!C5</f>
        <v>160000</v>
      </c>
      <c r="F6" s="3">
        <f t="shared" si="0"/>
        <v>164054.49145299144</v>
      </c>
    </row>
    <row r="7" spans="1:11" x14ac:dyDescent="0.25">
      <c r="A7" t="s">
        <v>12</v>
      </c>
      <c r="B7" s="27">
        <f>'Aires de jeux'!D14</f>
        <v>642000</v>
      </c>
      <c r="C7" s="27">
        <f>'Aires de jeux'!G14</f>
        <v>33686.666666666664</v>
      </c>
      <c r="D7" s="27">
        <f>'Aires de jeux'!H14</f>
        <v>30443.062164042192</v>
      </c>
      <c r="E7" s="27">
        <f>'Financement actuel'!G22</f>
        <v>6480.5439106307676</v>
      </c>
      <c r="F7" s="27">
        <f t="shared" si="0"/>
        <v>27206.122756035897</v>
      </c>
    </row>
    <row r="9" spans="1:11" x14ac:dyDescent="0.25">
      <c r="B9" s="18">
        <f>SUM(B3:B8)</f>
        <v>169109219.03442192</v>
      </c>
      <c r="C9" s="18">
        <f>SUM(C3:C8)</f>
        <v>4168527.0032695099</v>
      </c>
      <c r="D9" s="18">
        <f>SUM(D3:D8)</f>
        <v>2671633.8321251874</v>
      </c>
      <c r="E9" s="18">
        <f>SUM(E3:E8)</f>
        <v>2160000</v>
      </c>
      <c r="F9" s="30">
        <f>SUM(F3:F8)</f>
        <v>2008527.0032695101</v>
      </c>
      <c r="H9" s="18"/>
    </row>
    <row r="11" spans="1:11" ht="45" x14ac:dyDescent="0.25">
      <c r="A11" s="14" t="s">
        <v>13</v>
      </c>
      <c r="B11" s="9" t="s">
        <v>1221</v>
      </c>
      <c r="C11" s="9" t="s">
        <v>1222</v>
      </c>
      <c r="D11" s="9" t="s">
        <v>1223</v>
      </c>
      <c r="E11" s="9" t="s">
        <v>1224</v>
      </c>
      <c r="F11" s="9" t="s">
        <v>1225</v>
      </c>
    </row>
    <row r="12" spans="1:11" x14ac:dyDescent="0.25">
      <c r="A12" t="s">
        <v>14</v>
      </c>
      <c r="B12" s="13">
        <f>'Conduite principale d''eau'!F252</f>
        <v>19052910</v>
      </c>
      <c r="C12" s="3">
        <f>'Conduite principale d''eau'!I252</f>
        <v>253267.86607142858</v>
      </c>
      <c r="D12" s="3">
        <f>'Conduite principale d''eau'!J252</f>
        <v>169398.59094583223</v>
      </c>
      <c r="E12" s="3">
        <f>'Financement actuel'!C19</f>
        <v>175000</v>
      </c>
      <c r="F12" s="31">
        <f t="shared" ref="F12" si="1">C12-E12</f>
        <v>78267.86607142858</v>
      </c>
      <c r="H12" s="3"/>
    </row>
    <row r="15" spans="1:11" ht="45" x14ac:dyDescent="0.25">
      <c r="A15" s="14" t="s">
        <v>15</v>
      </c>
      <c r="B15" s="9" t="s">
        <v>1226</v>
      </c>
      <c r="C15" s="9" t="s">
        <v>1227</v>
      </c>
      <c r="D15" s="9" t="s">
        <v>1228</v>
      </c>
      <c r="E15" s="9" t="s">
        <v>1229</v>
      </c>
      <c r="F15" s="9" t="s">
        <v>1230</v>
      </c>
    </row>
    <row r="16" spans="1:11" x14ac:dyDescent="0.25">
      <c r="A16" t="s">
        <v>16</v>
      </c>
      <c r="B16" s="13">
        <f>'Conduite principale'!F203</f>
        <v>16082555.100000005</v>
      </c>
      <c r="C16" s="3">
        <f>'Conduite principale'!I203</f>
        <v>202363.35830357144</v>
      </c>
      <c r="D16" s="3">
        <f>'Conduite principale'!J203</f>
        <v>132203.04438522385</v>
      </c>
      <c r="E16" s="3">
        <f>'Financement actuel'!C25</f>
        <v>85000</v>
      </c>
      <c r="F16" s="31">
        <f>C16-E16</f>
        <v>117363.35830357144</v>
      </c>
      <c r="H16" s="3">
        <f>F16/8500</f>
        <v>13.807453918067228</v>
      </c>
    </row>
    <row r="18" spans="1:6" x14ac:dyDescent="0.25">
      <c r="A18" s="37" t="s">
        <v>17</v>
      </c>
      <c r="B18" s="38">
        <f>B16+B12+B9</f>
        <v>204244684.13442194</v>
      </c>
      <c r="C18" s="38">
        <f t="shared" ref="C18:F18" si="2">C16+C12+C9</f>
        <v>4624158.2276445096</v>
      </c>
      <c r="D18" s="38">
        <f t="shared" si="2"/>
        <v>2973235.4674562435</v>
      </c>
      <c r="E18" s="38">
        <f t="shared" si="2"/>
        <v>2420000</v>
      </c>
      <c r="F18" s="39">
        <f t="shared" si="2"/>
        <v>2204158.2276445101</v>
      </c>
    </row>
  </sheetData>
  <pageMargins left="0.7" right="0.7" top="0.75" bottom="0.75" header="0.3" footer="0.3"/>
  <pageSetup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9B42-ABDC-4369-AFDB-1697773C4158}">
  <dimension ref="D2:I19"/>
  <sheetViews>
    <sheetView zoomScale="85" zoomScaleNormal="85" workbookViewId="0">
      <selection activeCell="G18" sqref="G18"/>
    </sheetView>
  </sheetViews>
  <sheetFormatPr defaultColWidth="9.140625" defaultRowHeight="15" x14ac:dyDescent="0.25"/>
  <cols>
    <col min="4" max="4" width="27.42578125" bestFit="1" customWidth="1"/>
    <col min="5" max="5" width="13.85546875" bestFit="1" customWidth="1"/>
    <col min="6" max="6" width="14.7109375" customWidth="1"/>
    <col min="7" max="7" width="14.5703125" style="2" bestFit="1" customWidth="1"/>
    <col min="8" max="8" width="12" bestFit="1" customWidth="1"/>
    <col min="9" max="9" width="14.5703125" bestFit="1" customWidth="1"/>
  </cols>
  <sheetData>
    <row r="2" spans="4:9" x14ac:dyDescent="0.25">
      <c r="E2" t="s">
        <v>372</v>
      </c>
      <c r="F2" t="s">
        <v>373</v>
      </c>
      <c r="G2" s="2" t="s">
        <v>374</v>
      </c>
      <c r="H2" t="s">
        <v>375</v>
      </c>
      <c r="I2" t="s">
        <v>376</v>
      </c>
    </row>
    <row r="3" spans="4:9" x14ac:dyDescent="0.25">
      <c r="E3" t="s">
        <v>377</v>
      </c>
      <c r="F3" t="s">
        <v>378</v>
      </c>
      <c r="G3" s="2" t="s">
        <v>379</v>
      </c>
      <c r="H3" t="s">
        <v>380</v>
      </c>
      <c r="I3" t="s">
        <v>381</v>
      </c>
    </row>
    <row r="4" spans="4:9" x14ac:dyDescent="0.25">
      <c r="D4" t="s">
        <v>382</v>
      </c>
      <c r="E4" s="42" t="s">
        <v>383</v>
      </c>
      <c r="F4" s="42" t="s">
        <v>384</v>
      </c>
      <c r="G4" s="2">
        <v>0</v>
      </c>
      <c r="H4" s="42" t="s">
        <v>385</v>
      </c>
      <c r="I4" s="42" t="s">
        <v>386</v>
      </c>
    </row>
    <row r="5" spans="4:9" x14ac:dyDescent="0.25">
      <c r="D5" t="s">
        <v>387</v>
      </c>
      <c r="E5" s="42" t="s">
        <v>1231</v>
      </c>
      <c r="F5" s="42" t="s">
        <v>1232</v>
      </c>
      <c r="G5" s="2">
        <v>0</v>
      </c>
      <c r="H5" s="42" t="s">
        <v>1233</v>
      </c>
      <c r="I5" s="42" t="s">
        <v>1234</v>
      </c>
    </row>
    <row r="7" spans="4:9" x14ac:dyDescent="0.25">
      <c r="D7" t="s">
        <v>388</v>
      </c>
      <c r="E7" s="43">
        <v>168000</v>
      </c>
      <c r="F7" s="43"/>
      <c r="G7" s="2">
        <v>252000</v>
      </c>
      <c r="H7" s="43"/>
      <c r="I7" s="43">
        <v>379431.29681919597</v>
      </c>
    </row>
    <row r="8" spans="4:9" x14ac:dyDescent="0.25">
      <c r="D8" t="s">
        <v>1235</v>
      </c>
      <c r="E8" s="43">
        <v>58636.131919642852</v>
      </c>
      <c r="F8" s="43"/>
      <c r="G8" s="2">
        <v>143000</v>
      </c>
      <c r="H8" s="43"/>
      <c r="I8" s="43">
        <v>269431.29681919597</v>
      </c>
    </row>
    <row r="9" spans="4:9" x14ac:dyDescent="0.25">
      <c r="D9" t="s">
        <v>389</v>
      </c>
      <c r="E9" s="43">
        <f>E8*100</f>
        <v>5863613.1919642854</v>
      </c>
      <c r="F9" s="43"/>
      <c r="G9" s="2">
        <v>14300000</v>
      </c>
      <c r="H9" s="43"/>
      <c r="I9" s="43">
        <f>I8*100</f>
        <v>26943129.681919597</v>
      </c>
    </row>
    <row r="10" spans="4:9" x14ac:dyDescent="0.25">
      <c r="D10" t="s">
        <v>49</v>
      </c>
      <c r="E10" s="44">
        <v>0.46</v>
      </c>
      <c r="F10" s="43"/>
      <c r="G10" s="2">
        <v>0.55000000000000004</v>
      </c>
      <c r="H10" s="43"/>
      <c r="I10" s="44">
        <v>0.69</v>
      </c>
    </row>
    <row r="12" spans="4:9" x14ac:dyDescent="0.25">
      <c r="D12" t="s">
        <v>390</v>
      </c>
      <c r="E12" s="2">
        <v>400000</v>
      </c>
      <c r="G12" s="2">
        <f>E12</f>
        <v>400000</v>
      </c>
    </row>
    <row r="13" spans="4:9" x14ac:dyDescent="0.25">
      <c r="E13" s="2">
        <f>E12*0.05</f>
        <v>20000</v>
      </c>
      <c r="G13" s="2">
        <f>G12*0.05</f>
        <v>20000</v>
      </c>
    </row>
    <row r="14" spans="4:9" x14ac:dyDescent="0.25">
      <c r="E14" s="3"/>
    </row>
    <row r="15" spans="4:9" x14ac:dyDescent="0.25">
      <c r="E15">
        <f>E8/E13</f>
        <v>2.9318065959821427</v>
      </c>
      <c r="G15">
        <f>G8/G13</f>
        <v>7.15</v>
      </c>
    </row>
    <row r="18" spans="4:7" x14ac:dyDescent="0.25">
      <c r="D18" t="s">
        <v>391</v>
      </c>
      <c r="G18" s="2">
        <v>200</v>
      </c>
    </row>
    <row r="19" spans="4:7" x14ac:dyDescent="0.25">
      <c r="G19" s="2">
        <f>G18*0.05</f>
        <v>10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6222-5F49-4A83-8D2A-D33F88E91595}">
  <dimension ref="B1:CY37"/>
  <sheetViews>
    <sheetView topLeftCell="A22" zoomScale="85" zoomScaleNormal="85" workbookViewId="0">
      <selection activeCell="C33" sqref="C33"/>
    </sheetView>
  </sheetViews>
  <sheetFormatPr defaultColWidth="9.140625" defaultRowHeight="15" x14ac:dyDescent="0.25"/>
  <cols>
    <col min="2" max="2" width="17.42578125" bestFit="1" customWidth="1"/>
    <col min="3" max="3" width="14.5703125" style="2" bestFit="1" customWidth="1"/>
    <col min="4" max="4" width="11.85546875" bestFit="1" customWidth="1"/>
    <col min="5" max="20" width="13.42578125" bestFit="1" customWidth="1"/>
    <col min="21" max="49" width="14.140625" bestFit="1" customWidth="1"/>
    <col min="50" max="102" width="15.140625" bestFit="1" customWidth="1"/>
    <col min="103" max="103" width="14.5703125" bestFit="1" customWidth="1"/>
  </cols>
  <sheetData>
    <row r="1" spans="2:103" x14ac:dyDescent="0.25">
      <c r="C1" s="2">
        <v>2024</v>
      </c>
      <c r="D1">
        <v>2025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  <c r="O1">
        <v>2036</v>
      </c>
      <c r="P1">
        <v>2037</v>
      </c>
      <c r="Q1">
        <v>2038</v>
      </c>
      <c r="R1">
        <v>2039</v>
      </c>
      <c r="S1">
        <v>2040</v>
      </c>
      <c r="T1">
        <v>2041</v>
      </c>
      <c r="U1">
        <v>2042</v>
      </c>
      <c r="V1">
        <v>2043</v>
      </c>
      <c r="W1">
        <v>2044</v>
      </c>
      <c r="X1">
        <v>2045</v>
      </c>
      <c r="Y1">
        <v>2046</v>
      </c>
      <c r="Z1">
        <v>2047</v>
      </c>
      <c r="AA1">
        <v>2048</v>
      </c>
      <c r="AB1">
        <v>2049</v>
      </c>
      <c r="AC1">
        <v>2050</v>
      </c>
      <c r="AD1">
        <v>2051</v>
      </c>
      <c r="AE1">
        <v>2052</v>
      </c>
      <c r="AF1">
        <v>2053</v>
      </c>
      <c r="AG1">
        <v>2054</v>
      </c>
      <c r="AH1">
        <v>2055</v>
      </c>
      <c r="AI1">
        <v>2056</v>
      </c>
      <c r="AJ1">
        <v>2057</v>
      </c>
      <c r="AK1">
        <v>2058</v>
      </c>
      <c r="AL1">
        <v>2059</v>
      </c>
      <c r="AM1">
        <v>2060</v>
      </c>
      <c r="AN1">
        <v>2061</v>
      </c>
      <c r="AO1">
        <v>2062</v>
      </c>
      <c r="AP1">
        <v>2063</v>
      </c>
      <c r="AQ1">
        <v>2064</v>
      </c>
      <c r="AR1">
        <v>2065</v>
      </c>
      <c r="AS1">
        <v>2066</v>
      </c>
      <c r="AT1">
        <v>2067</v>
      </c>
      <c r="AU1">
        <v>2068</v>
      </c>
      <c r="AV1">
        <v>2069</v>
      </c>
      <c r="AW1">
        <v>2070</v>
      </c>
      <c r="AX1">
        <v>2071</v>
      </c>
      <c r="AY1">
        <v>2072</v>
      </c>
      <c r="AZ1">
        <v>2073</v>
      </c>
      <c r="BA1">
        <v>2074</v>
      </c>
      <c r="BB1">
        <v>2075</v>
      </c>
      <c r="BC1">
        <v>2076</v>
      </c>
      <c r="BD1">
        <v>2077</v>
      </c>
      <c r="BE1">
        <v>2078</v>
      </c>
      <c r="BF1">
        <v>2079</v>
      </c>
      <c r="BG1">
        <v>2080</v>
      </c>
      <c r="BH1">
        <v>2081</v>
      </c>
      <c r="BI1">
        <v>2082</v>
      </c>
      <c r="BJ1">
        <v>2083</v>
      </c>
      <c r="BK1">
        <v>2084</v>
      </c>
      <c r="BL1">
        <v>2085</v>
      </c>
      <c r="BM1">
        <v>2086</v>
      </c>
      <c r="BN1">
        <v>2087</v>
      </c>
      <c r="BO1">
        <v>2088</v>
      </c>
      <c r="BP1">
        <v>2089</v>
      </c>
      <c r="BQ1">
        <v>2090</v>
      </c>
      <c r="BR1">
        <v>2091</v>
      </c>
      <c r="BS1">
        <v>2092</v>
      </c>
      <c r="BT1">
        <v>2093</v>
      </c>
      <c r="BU1">
        <v>2094</v>
      </c>
      <c r="BV1">
        <v>2095</v>
      </c>
      <c r="BW1">
        <v>2096</v>
      </c>
      <c r="BX1">
        <v>2097</v>
      </c>
      <c r="BY1">
        <v>2098</v>
      </c>
      <c r="BZ1">
        <v>2099</v>
      </c>
      <c r="CA1">
        <v>2100</v>
      </c>
      <c r="CB1">
        <v>2101</v>
      </c>
      <c r="CC1">
        <v>2102</v>
      </c>
      <c r="CD1">
        <v>2103</v>
      </c>
      <c r="CE1">
        <v>2104</v>
      </c>
      <c r="CF1">
        <v>2105</v>
      </c>
      <c r="CG1">
        <v>2106</v>
      </c>
      <c r="CH1">
        <v>2107</v>
      </c>
      <c r="CI1">
        <v>2108</v>
      </c>
      <c r="CJ1">
        <v>2109</v>
      </c>
      <c r="CK1">
        <v>2110</v>
      </c>
      <c r="CL1">
        <v>2111</v>
      </c>
      <c r="CM1">
        <v>2112</v>
      </c>
      <c r="CN1">
        <v>2113</v>
      </c>
      <c r="CO1">
        <v>2114</v>
      </c>
      <c r="CP1">
        <v>2115</v>
      </c>
      <c r="CQ1">
        <v>2116</v>
      </c>
      <c r="CR1">
        <v>2117</v>
      </c>
      <c r="CS1">
        <v>2118</v>
      </c>
      <c r="CT1">
        <v>2119</v>
      </c>
      <c r="CU1">
        <v>2120</v>
      </c>
      <c r="CV1">
        <v>2121</v>
      </c>
      <c r="CW1">
        <v>2122</v>
      </c>
      <c r="CX1">
        <v>2123</v>
      </c>
    </row>
    <row r="2" spans="2:103" x14ac:dyDescent="0.25">
      <c r="B2" t="s">
        <v>161</v>
      </c>
      <c r="C2" s="2">
        <f>SUMIF('Conduite principale'!$P:$P,C1,'Conduite principale'!$F:$F)</f>
        <v>42380.100000000006</v>
      </c>
      <c r="D2" s="2">
        <f>SUMIF('Conduite principale'!$P:$P,D1,'Conduite principale'!$F:$F)</f>
        <v>0</v>
      </c>
      <c r="E2" s="2">
        <f>SUMIF('Conduite principale'!$P:$P,E1,'Conduite principale'!$F:$F)</f>
        <v>41738.400000000001</v>
      </c>
      <c r="F2" s="2">
        <f>SUMIF('Conduite principale'!$P:$P,F1,'Conduite principale'!$F:$F)</f>
        <v>0</v>
      </c>
      <c r="G2" s="2">
        <f>SUMIF('Conduite principale'!$P:$P,G1,'Conduite principale'!$F:$F)</f>
        <v>54474.75</v>
      </c>
      <c r="H2" s="2">
        <f>SUMIF('Conduite principale'!$P:$P,H1,'Conduite principale'!$F:$F)</f>
        <v>0</v>
      </c>
      <c r="I2" s="2">
        <f>SUMIF('Conduite principale'!$P:$P,I1,'Conduite principale'!$F:$F)</f>
        <v>0</v>
      </c>
      <c r="J2" s="2">
        <f>SUMIF('Conduite principale'!$P:$P,J1,'Conduite principale'!$F:$F)</f>
        <v>0</v>
      </c>
      <c r="K2" s="2">
        <f>SUMIF('Conduite principale'!$P:$P,K1,'Conduite principale'!$F:$F)</f>
        <v>0</v>
      </c>
      <c r="L2" s="2">
        <f>SUMIF('Conduite principale'!$P:$P,L1,'Conduite principale'!$F:$F)</f>
        <v>151920.15</v>
      </c>
      <c r="M2" s="2">
        <f>SUMIF('Conduite principale'!$P:$P,M1,'Conduite principale'!$F:$F)</f>
        <v>0</v>
      </c>
      <c r="N2" s="2">
        <f>SUMIF('Conduite principale'!$P:$P,N1,'Conduite principale'!$F:$F)</f>
        <v>170785.2</v>
      </c>
      <c r="O2" s="2">
        <f>SUMIF('Conduite principale'!$P:$P,O1,'Conduite principale'!$F:$F)</f>
        <v>539362.80000000005</v>
      </c>
      <c r="P2" s="2">
        <f>SUMIF('Conduite principale'!$P:$P,P1,'Conduite principale'!$F:$F)</f>
        <v>118235.55</v>
      </c>
      <c r="Q2" s="2">
        <f>SUMIF('Conduite principale'!$P:$P,Q1,'Conduite principale'!$F:$F)</f>
        <v>599682.6</v>
      </c>
      <c r="R2" s="2">
        <f>SUMIF('Conduite principale'!$P:$P,R1,'Conduite principale'!$F:$F)</f>
        <v>352302.6</v>
      </c>
      <c r="S2" s="2">
        <f>SUMIF('Conduite principale'!$P:$P,S1,'Conduite principale'!$F:$F)</f>
        <v>353460.44999999995</v>
      </c>
      <c r="T2" s="2">
        <f>SUMIF('Conduite principale'!$P:$P,T1,'Conduite principale'!$F:$F)</f>
        <v>287002.64999999997</v>
      </c>
      <c r="U2" s="2">
        <f>SUMIF('Conduite principale'!$P:$P,U1,'Conduite principale'!$F:$F)</f>
        <v>207748.05</v>
      </c>
      <c r="V2" s="2">
        <f>SUMIF('Conduite principale'!$P:$P,V1,'Conduite principale'!$F:$F)</f>
        <v>644959.65</v>
      </c>
      <c r="W2" s="2">
        <f>SUMIF('Conduite principale'!$P:$P,W1,'Conduite principale'!$F:$F)</f>
        <v>105438.75</v>
      </c>
      <c r="X2" s="2">
        <f>SUMIF('Conduite principale'!$P:$P,X1,'Conduite principale'!$F:$F)</f>
        <v>777577.64999999991</v>
      </c>
      <c r="Y2" s="2">
        <f>SUMIF('Conduite principale'!$P:$P,Y1,'Conduite principale'!$F:$F)</f>
        <v>133436.4</v>
      </c>
      <c r="Z2" s="2">
        <f>SUMIF('Conduite principale'!$P:$P,Z1,'Conduite principale'!$F:$F)</f>
        <v>150027.6</v>
      </c>
      <c r="AA2" s="2">
        <f>SUMIF('Conduite principale'!$P:$P,AA1,'Conduite principale'!$F:$F)</f>
        <v>181917.3</v>
      </c>
      <c r="AB2" s="2">
        <f>SUMIF('Conduite principale'!$P:$P,AB1,'Conduite principale'!$F:$F)</f>
        <v>199954.65000000002</v>
      </c>
      <c r="AC2" s="2">
        <f>SUMIF('Conduite principale'!$P:$P,AC1,'Conduite principale'!$F:$F)</f>
        <v>0</v>
      </c>
      <c r="AD2" s="2">
        <f>SUMIF('Conduite principale'!$P:$P,AD1,'Conduite principale'!$F:$F)</f>
        <v>0</v>
      </c>
      <c r="AE2" s="2">
        <f>SUMIF('Conduite principale'!$P:$P,AE1,'Conduite principale'!$F:$F)</f>
        <v>660114</v>
      </c>
      <c r="AF2" s="2">
        <f>SUMIF('Conduite principale'!$P:$P,AF1,'Conduite principale'!$F:$F)</f>
        <v>383820.29999999993</v>
      </c>
      <c r="AG2" s="2">
        <f>SUMIF('Conduite principale'!$P:$P,AG1,'Conduite principale'!$F:$F)</f>
        <v>470533.5</v>
      </c>
      <c r="AH2" s="2">
        <f>SUMIF('Conduite principale'!$P:$P,AH1,'Conduite principale'!$F:$F)</f>
        <v>359626.35000000003</v>
      </c>
      <c r="AI2" s="2">
        <f>SUMIF('Conduite principale'!$P:$P,AI1,'Conduite principale'!$F:$F)</f>
        <v>482488.65</v>
      </c>
      <c r="AJ2" s="2">
        <f>SUMIF('Conduite principale'!$P:$P,AJ1,'Conduite principale'!$F:$F)</f>
        <v>157755.89999999997</v>
      </c>
      <c r="AK2" s="2">
        <f>SUMIF('Conduite principale'!$P:$P,AK1,'Conduite principale'!$F:$F)</f>
        <v>594242.1</v>
      </c>
      <c r="AL2" s="2">
        <f>SUMIF('Conduite principale'!$P:$P,AL1,'Conduite principale'!$F:$F)</f>
        <v>360640.05</v>
      </c>
      <c r="AM2" s="2">
        <f>SUMIF('Conduite principale'!$P:$P,AM1,'Conduite principale'!$F:$F)</f>
        <v>99844.799999999988</v>
      </c>
      <c r="AN2" s="2">
        <f>SUMIF('Conduite principale'!$P:$P,AN1,'Conduite principale'!$F:$F)</f>
        <v>366996.60000000003</v>
      </c>
      <c r="AO2" s="2">
        <f>SUMIF('Conduite principale'!$P:$P,AO1,'Conduite principale'!$F:$F)</f>
        <v>735802.04999999981</v>
      </c>
      <c r="AP2" s="2">
        <f>SUMIF('Conduite principale'!$P:$P,AP1,'Conduite principale'!$F:$F)</f>
        <v>433431.14999999997</v>
      </c>
      <c r="AQ2" s="2">
        <f>SUMIF('Conduite principale'!$P:$P,AQ1,'Conduite principale'!$F:$F)</f>
        <v>489812.40000000008</v>
      </c>
      <c r="AR2" s="2">
        <f>SUMIF('Conduite principale'!$P:$P,AR1,'Conduite principale'!$F:$F)</f>
        <v>353372.1</v>
      </c>
      <c r="AS2" s="2">
        <f>SUMIF('Conduite principale'!$P:$P,AS1,'Conduite principale'!$F:$F)</f>
        <v>391502.10000000003</v>
      </c>
      <c r="AT2" s="2">
        <f>SUMIF('Conduite principale'!$P:$P,AT1,'Conduite principale'!$F:$F)</f>
        <v>371521.05</v>
      </c>
      <c r="AU2" s="2">
        <f>SUMIF('Conduite principale'!$P:$P,AU1,'Conduite principale'!$F:$F)</f>
        <v>377296.35</v>
      </c>
      <c r="AV2" s="2">
        <f>SUMIF('Conduite principale'!$P:$P,AV1,'Conduite principale'!$F:$F)</f>
        <v>107391.75</v>
      </c>
      <c r="AW2" s="2">
        <f>SUMIF('Conduite principale'!$P:$P,AW1,'Conduite principale'!$F:$F)</f>
        <v>218605.8</v>
      </c>
      <c r="AX2" s="2">
        <f>SUMIF('Conduite principale'!$P:$P,AX1,'Conduite principale'!$F:$F)</f>
        <v>547249.19999999995</v>
      </c>
      <c r="AY2" s="2">
        <f>SUMIF('Conduite principale'!$P:$P,AY1,'Conduite principale'!$F:$F)</f>
        <v>375343.35</v>
      </c>
      <c r="AZ2" s="2">
        <f>SUMIF('Conduite principale'!$P:$P,AZ1,'Conduite principale'!$F:$F)</f>
        <v>115417.65</v>
      </c>
      <c r="BA2" s="2">
        <f>SUMIF('Conduite principale'!$P:$P,BA1,'Conduite principale'!$F:$F)</f>
        <v>349154.55</v>
      </c>
      <c r="BB2" s="2">
        <f>SUMIF('Conduite principale'!$P:$P,BB1,'Conduite principale'!$F:$F)</f>
        <v>36828</v>
      </c>
      <c r="BC2" s="2">
        <f>SUMIF('Conduite principale'!$P:$P,BC1,'Conduite principale'!$F:$F)</f>
        <v>207915.45</v>
      </c>
      <c r="BD2" s="2">
        <f>SUMIF('Conduite principale'!$P:$P,BD1,'Conduite principale'!$F:$F)</f>
        <v>203702.55</v>
      </c>
      <c r="BE2" s="2">
        <f>SUMIF('Conduite principale'!$P:$P,BE1,'Conduite principale'!$F:$F)</f>
        <v>128005.2</v>
      </c>
      <c r="BF2" s="2">
        <f>SUMIF('Conduite principale'!$P:$P,BF1,'Conduite principale'!$F:$F)</f>
        <v>0</v>
      </c>
      <c r="BG2" s="2">
        <f>SUMIF('Conduite principale'!$P:$P,BG1,'Conduite principale'!$F:$F)</f>
        <v>241595.4</v>
      </c>
      <c r="BH2" s="2">
        <f>SUMIF('Conduite principale'!$P:$P,BH1,'Conduite principale'!$F:$F)</f>
        <v>213611.7</v>
      </c>
      <c r="BI2" s="2">
        <f>SUMIF('Conduite principale'!$P:$P,BI1,'Conduite principale'!$F:$F)</f>
        <v>0</v>
      </c>
      <c r="BJ2" s="2">
        <f>SUMIF('Conduite principale'!$P:$P,BJ1,'Conduite principale'!$F:$F)</f>
        <v>233397.44999999995</v>
      </c>
      <c r="BK2" s="2">
        <f>SUMIF('Conduite principale'!$P:$P,BK1,'Conduite principale'!$F:$F)</f>
        <v>395045.39999999997</v>
      </c>
      <c r="BL2" s="2">
        <f>SUMIF('Conduite principale'!$P:$P,BL1,'Conduite principale'!$F:$F)</f>
        <v>212616.59999999998</v>
      </c>
      <c r="BM2" s="2">
        <f>SUMIF('Conduite principale'!$P:$P,BM1,'Conduite principale'!$F:$F)</f>
        <v>295470.30000000005</v>
      </c>
      <c r="BN2" s="2">
        <f>SUMIF('Conduite principale'!$P:$P,BN1,'Conduite principale'!$F:$F)</f>
        <v>0</v>
      </c>
      <c r="BO2" s="2">
        <f>SUMIF('Conduite principale'!$P:$P,BO1,'Conduite principale'!$F:$F)</f>
        <v>0</v>
      </c>
      <c r="BP2" s="2">
        <f>SUMIF('Conduite principale'!$P:$P,BP1,'Conduite principale'!$F:$F)</f>
        <v>0</v>
      </c>
      <c r="BQ2" s="2">
        <f>SUMIF('Conduite principale'!$P:$P,BQ1,'Conduite principale'!$F:$F)</f>
        <v>0</v>
      </c>
      <c r="BR2" s="2">
        <f>SUMIF('Conduite principale'!$P:$P,BR1,'Conduite principale'!$F:$F)</f>
        <v>0</v>
      </c>
      <c r="BS2" s="2">
        <f>SUMIF('Conduite principale'!$P:$P,BS1,'Conduite principale'!$F:$F)</f>
        <v>0</v>
      </c>
      <c r="BT2" s="2">
        <f>SUMIF('Conduite principale'!$P:$P,BT1,'Conduite principale'!$F:$F)</f>
        <v>0</v>
      </c>
      <c r="BU2" s="2">
        <f>SUMIF('Conduite principale'!$P:$P,BU1,'Conduite principale'!$F:$F)</f>
        <v>0</v>
      </c>
      <c r="BV2" s="2">
        <f>SUMIF('Conduite principale'!$P:$P,BV1,'Conduite principale'!$F:$F)</f>
        <v>0</v>
      </c>
      <c r="BW2" s="2">
        <f>SUMIF('Conduite principale'!$P:$P,BW1,'Conduite principale'!$F:$F)</f>
        <v>0</v>
      </c>
      <c r="BX2" s="2">
        <f>SUMIF('Conduite principale'!$P:$P,BX1,'Conduite principale'!$F:$F)</f>
        <v>0</v>
      </c>
      <c r="BY2" s="2">
        <f>SUMIF('Conduite principale'!$P:$P,BY1,'Conduite principale'!$F:$F)</f>
        <v>0</v>
      </c>
      <c r="BZ2" s="2">
        <f>SUMIF('Conduite principale'!$P:$P,BZ1,'Conduite principale'!$F:$F)</f>
        <v>0</v>
      </c>
      <c r="CA2" s="2">
        <f>SUMIF('Conduite principale'!$P:$P,CA1,'Conduite principale'!$F:$F)</f>
        <v>0</v>
      </c>
      <c r="CB2" s="2">
        <f>SUMIF('Conduite principale'!$P:$P,CB1,'Conduite principale'!$F:$F)</f>
        <v>0</v>
      </c>
      <c r="CC2" s="2">
        <f>SUMIF('Conduite principale'!$P:$P,CC1,'Conduite principale'!$F:$F)</f>
        <v>0</v>
      </c>
      <c r="CD2" s="2">
        <f>SUMIF('Conduite principale'!$P:$P,CD1,'Conduite principale'!$F:$F)</f>
        <v>0</v>
      </c>
      <c r="CE2" s="2">
        <f>SUMIF('Conduite principale'!$P:$P,CE1,'Conduite principale'!$F:$F)</f>
        <v>0</v>
      </c>
      <c r="CF2" s="2">
        <f>SUMIF('Conduite principale'!$P:$P,CF1,'Conduite principale'!$F:$F)</f>
        <v>0</v>
      </c>
      <c r="CG2" s="2">
        <f>SUMIF('Conduite principale'!$P:$P,CG1,'Conduite principale'!$F:$F)</f>
        <v>0</v>
      </c>
      <c r="CH2" s="2">
        <f>SUMIF('Conduite principale'!$P:$P,CH1,'Conduite principale'!$F:$F)</f>
        <v>0</v>
      </c>
      <c r="CI2" s="2">
        <f>SUMIF('Conduite principale'!$P:$P,CI1,'Conduite principale'!$F:$F)</f>
        <v>0</v>
      </c>
      <c r="CJ2" s="2">
        <f>SUMIF('Conduite principale'!$P:$P,CJ1,'Conduite principale'!$F:$F)</f>
        <v>0</v>
      </c>
      <c r="CK2" s="2">
        <f>SUMIF('Conduite principale'!$P:$P,CK1,'Conduite principale'!$F:$F)</f>
        <v>0</v>
      </c>
      <c r="CL2" s="2">
        <f>SUMIF('Conduite principale'!$P:$P,CL1,'Conduite principale'!$F:$F)</f>
        <v>0</v>
      </c>
      <c r="CM2" s="2">
        <f>SUMIF('Conduite principale'!$P:$P,CM1,'Conduite principale'!$F:$F)</f>
        <v>0</v>
      </c>
      <c r="CN2" s="2">
        <f>SUMIF('Conduite principale'!$P:$P,CN1,'Conduite principale'!$F:$F)</f>
        <v>0</v>
      </c>
      <c r="CO2" s="2">
        <f>SUMIF('Conduite principale'!$P:$P,CO1,'Conduite principale'!$F:$F)</f>
        <v>0</v>
      </c>
      <c r="CP2" s="2">
        <f>SUMIF('Conduite principale'!$P:$P,CP1,'Conduite principale'!$F:$F)</f>
        <v>0</v>
      </c>
      <c r="CQ2" s="2">
        <f>SUMIF('Conduite principale'!$P:$P,CQ1,'Conduite principale'!$F:$F)</f>
        <v>0</v>
      </c>
      <c r="CR2" s="2">
        <f>SUMIF('Conduite principale'!$P:$P,CR1,'Conduite principale'!$F:$F)</f>
        <v>0</v>
      </c>
      <c r="CS2" s="2">
        <f>SUMIF('Conduite principale'!$P:$P,CS1,'Conduite principale'!$F:$F)</f>
        <v>0</v>
      </c>
      <c r="CT2" s="2">
        <f>SUMIF('Conduite principale'!$P:$P,CT1,'Conduite principale'!$F:$F)</f>
        <v>0</v>
      </c>
      <c r="CU2" s="2">
        <f>SUMIF('Conduite principale'!$P:$P,CU1,'Conduite principale'!$F:$F)</f>
        <v>0</v>
      </c>
      <c r="CV2" s="2">
        <f>SUMIF('Conduite principale'!$P:$P,CV1,'Conduite principale'!$F:$F)</f>
        <v>0</v>
      </c>
      <c r="CW2" s="2">
        <f>SUMIF('Conduite principale'!$P:$P,CW1,'Conduite principale'!$F:$F)</f>
        <v>0</v>
      </c>
      <c r="CX2" s="2">
        <f>SUMIF('Conduite principale'!$P:$P,CX1,'Conduite principale'!$F:$F)</f>
        <v>0</v>
      </c>
      <c r="CY2" s="3">
        <f>SUM(C2:CX2)</f>
        <v>16082555.100000001</v>
      </c>
    </row>
    <row r="3" spans="2:103" x14ac:dyDescent="0.25">
      <c r="B3" t="s">
        <v>162</v>
      </c>
      <c r="C3" s="16">
        <f>SUMIF('Conduite principale'!$Q:$Q,C1,'Conduite principale'!$F:$F)</f>
        <v>0</v>
      </c>
      <c r="D3" s="16">
        <f>SUMIF('Conduite principale'!$Q:$Q,D1,'Conduite principale'!$F:$F)</f>
        <v>0</v>
      </c>
      <c r="E3" s="16">
        <f>SUMIF('Conduite principale'!$Q:$Q,E1,'Conduite principale'!$F:$F)</f>
        <v>0</v>
      </c>
      <c r="F3" s="16">
        <f>SUMIF('Conduite principale'!$Q:$Q,F1,'Conduite principale'!$F:$F)</f>
        <v>0</v>
      </c>
      <c r="G3" s="16">
        <f>SUMIF('Conduite principale'!$Q:$Q,G1,'Conduite principale'!$F:$F)</f>
        <v>0</v>
      </c>
      <c r="H3" s="16">
        <f>SUMIF('Conduite principale'!$Q:$Q,H1,'Conduite principale'!$F:$F)</f>
        <v>0</v>
      </c>
      <c r="I3" s="16">
        <f>SUMIF('Conduite principale'!$Q:$Q,I1,'Conduite principale'!$F:$F)</f>
        <v>0</v>
      </c>
      <c r="J3" s="16">
        <f>SUMIF('Conduite principale'!$Q:$Q,J1,'Conduite principale'!$F:$F)</f>
        <v>0</v>
      </c>
      <c r="K3" s="16">
        <f>SUMIF('Conduite principale'!$Q:$Q,K1,'Conduite principale'!$F:$F)</f>
        <v>0</v>
      </c>
      <c r="L3" s="16">
        <f>SUMIF('Conduite principale'!$Q:$Q,L1,'Conduite principale'!$F:$F)</f>
        <v>0</v>
      </c>
      <c r="M3" s="16">
        <f>SUMIF('Conduite principale'!$Q:$Q,M1,'Conduite principale'!$F:$F)</f>
        <v>0</v>
      </c>
      <c r="N3" s="16">
        <f>SUMIF('Conduite principale'!$Q:$Q,N1,'Conduite principale'!$F:$F)</f>
        <v>0</v>
      </c>
      <c r="O3" s="16">
        <f>SUMIF('Conduite principale'!$Q:$Q,O1,'Conduite principale'!$F:$F)</f>
        <v>0</v>
      </c>
      <c r="P3" s="16">
        <f>SUMIF('Conduite principale'!$Q:$Q,P1,'Conduite principale'!$F:$F)</f>
        <v>0</v>
      </c>
      <c r="Q3" s="16">
        <f>SUMIF('Conduite principale'!$Q:$Q,Q1,'Conduite principale'!$F:$F)</f>
        <v>0</v>
      </c>
      <c r="R3" s="16">
        <f>SUMIF('Conduite principale'!$Q:$Q,R1,'Conduite principale'!$F:$F)</f>
        <v>0</v>
      </c>
      <c r="S3" s="16">
        <f>SUMIF('Conduite principale'!$Q:$Q,S1,'Conduite principale'!$F:$F)</f>
        <v>0</v>
      </c>
      <c r="T3" s="16">
        <f>SUMIF('Conduite principale'!$Q:$Q,T1,'Conduite principale'!$F:$F)</f>
        <v>0</v>
      </c>
      <c r="U3" s="16">
        <f>SUMIF('Conduite principale'!$Q:$Q,U1,'Conduite principale'!$F:$F)</f>
        <v>0</v>
      </c>
      <c r="V3" s="16">
        <f>SUMIF('Conduite principale'!$Q:$Q,V1,'Conduite principale'!$F:$F)</f>
        <v>0</v>
      </c>
      <c r="W3" s="16">
        <f>SUMIF('Conduite principale'!$Q:$Q,W1,'Conduite principale'!$F:$F)</f>
        <v>0</v>
      </c>
      <c r="X3" s="16">
        <f>SUMIF('Conduite principale'!$Q:$Q,X1,'Conduite principale'!$F:$F)</f>
        <v>0</v>
      </c>
      <c r="Y3" s="16">
        <f>SUMIF('Conduite principale'!$Q:$Q,Y1,'Conduite principale'!$F:$F)</f>
        <v>0</v>
      </c>
      <c r="Z3" s="16">
        <f>SUMIF('Conduite principale'!$Q:$Q,Z1,'Conduite principale'!$F:$F)</f>
        <v>0</v>
      </c>
      <c r="AA3" s="16">
        <f>SUMIF('Conduite principale'!$Q:$Q,AA1,'Conduite principale'!$F:$F)</f>
        <v>0</v>
      </c>
      <c r="AB3" s="16">
        <f>SUMIF('Conduite principale'!$Q:$Q,AB1,'Conduite principale'!$F:$F)</f>
        <v>0</v>
      </c>
      <c r="AC3" s="16">
        <f>SUMIF('Conduite principale'!$Q:$Q,AC1,'Conduite principale'!$F:$F)</f>
        <v>0</v>
      </c>
      <c r="AD3" s="16">
        <f>SUMIF('Conduite principale'!$Q:$Q,AD1,'Conduite principale'!$F:$F)</f>
        <v>0</v>
      </c>
      <c r="AE3" s="16">
        <f>SUMIF('Conduite principale'!$Q:$Q,AE1,'Conduite principale'!$F:$F)</f>
        <v>0</v>
      </c>
      <c r="AF3" s="16">
        <f>SUMIF('Conduite principale'!$Q:$Q,AF1,'Conduite principale'!$F:$F)</f>
        <v>0</v>
      </c>
      <c r="AG3" s="16">
        <f>SUMIF('Conduite principale'!$Q:$Q,AG1,'Conduite principale'!$F:$F)</f>
        <v>0</v>
      </c>
      <c r="AH3" s="16">
        <f>SUMIF('Conduite principale'!$Q:$Q,AH1,'Conduite principale'!$F:$F)</f>
        <v>0</v>
      </c>
      <c r="AI3" s="16">
        <f>SUMIF('Conduite principale'!$Q:$Q,AI1,'Conduite principale'!$F:$F)</f>
        <v>0</v>
      </c>
      <c r="AJ3" s="16">
        <f>SUMIF('Conduite principale'!$Q:$Q,AJ1,'Conduite principale'!$F:$F)</f>
        <v>0</v>
      </c>
      <c r="AK3" s="16">
        <f>SUMIF('Conduite principale'!$Q:$Q,AK1,'Conduite principale'!$F:$F)</f>
        <v>0</v>
      </c>
      <c r="AL3" s="16">
        <f>SUMIF('Conduite principale'!$Q:$Q,AL1,'Conduite principale'!$F:$F)</f>
        <v>0</v>
      </c>
      <c r="AM3" s="16">
        <f>SUMIF('Conduite principale'!$Q:$Q,AM1,'Conduite principale'!$F:$F)</f>
        <v>0</v>
      </c>
      <c r="AN3" s="16">
        <f>SUMIF('Conduite principale'!$Q:$Q,AN1,'Conduite principale'!$F:$F)</f>
        <v>0</v>
      </c>
      <c r="AO3" s="16">
        <f>SUMIF('Conduite principale'!$Q:$Q,AO1,'Conduite principale'!$F:$F)</f>
        <v>0</v>
      </c>
      <c r="AP3" s="16">
        <f>SUMIF('Conduite principale'!$Q:$Q,AP1,'Conduite principale'!$F:$F)</f>
        <v>0</v>
      </c>
      <c r="AQ3" s="16">
        <f>SUMIF('Conduite principale'!$Q:$Q,AQ1,'Conduite principale'!$F:$F)</f>
        <v>0</v>
      </c>
      <c r="AR3" s="16">
        <f>SUMIF('Conduite principale'!$Q:$Q,AR1,'Conduite principale'!$F:$F)</f>
        <v>0</v>
      </c>
      <c r="AS3" s="16">
        <f>SUMIF('Conduite principale'!$Q:$Q,AS1,'Conduite principale'!$F:$F)</f>
        <v>0</v>
      </c>
      <c r="AT3" s="16">
        <f>SUMIF('Conduite principale'!$Q:$Q,AT1,'Conduite principale'!$F:$F)</f>
        <v>0</v>
      </c>
      <c r="AU3" s="16">
        <f>SUMIF('Conduite principale'!$Q:$Q,AU1,'Conduite principale'!$F:$F)</f>
        <v>0</v>
      </c>
      <c r="AV3" s="16">
        <f>SUMIF('Conduite principale'!$Q:$Q,AV1,'Conduite principale'!$F:$F)</f>
        <v>0</v>
      </c>
      <c r="AW3" s="16">
        <f>SUMIF('Conduite principale'!$Q:$Q,AW1,'Conduite principale'!$F:$F)</f>
        <v>0</v>
      </c>
      <c r="AX3" s="16">
        <f>SUMIF('Conduite principale'!$Q:$Q,AX1,'Conduite principale'!$F:$F)</f>
        <v>0</v>
      </c>
      <c r="AY3" s="16">
        <f>SUMIF('Conduite principale'!$Q:$Q,AY1,'Conduite principale'!$F:$F)</f>
        <v>0</v>
      </c>
      <c r="AZ3" s="16">
        <f>SUMIF('Conduite principale'!$Q:$Q,AZ1,'Conduite principale'!$F:$F)</f>
        <v>0</v>
      </c>
      <c r="BA3" s="16">
        <f>SUMIF('Conduite principale'!$Q:$Q,BA1,'Conduite principale'!$F:$F)</f>
        <v>0</v>
      </c>
      <c r="BB3" s="16">
        <f>SUMIF('Conduite principale'!$Q:$Q,BB1,'Conduite principale'!$F:$F)</f>
        <v>0</v>
      </c>
      <c r="BC3" s="16">
        <f>SUMIF('Conduite principale'!$Q:$Q,BC1,'Conduite principale'!$F:$F)</f>
        <v>0</v>
      </c>
      <c r="BD3" s="16">
        <f>SUMIF('Conduite principale'!$Q:$Q,BD1,'Conduite principale'!$F:$F)</f>
        <v>0</v>
      </c>
      <c r="BE3" s="16">
        <f>SUMIF('Conduite principale'!$Q:$Q,BE1,'Conduite principale'!$F:$F)</f>
        <v>0</v>
      </c>
      <c r="BF3" s="16">
        <f>SUMIF('Conduite principale'!$Q:$Q,BF1,'Conduite principale'!$F:$F)</f>
        <v>0</v>
      </c>
      <c r="BG3" s="16">
        <f>SUMIF('Conduite principale'!$Q:$Q,BG1,'Conduite principale'!$F:$F)</f>
        <v>0</v>
      </c>
      <c r="BH3" s="16">
        <f>SUMIF('Conduite principale'!$Q:$Q,BH1,'Conduite principale'!$F:$F)</f>
        <v>0</v>
      </c>
      <c r="BI3" s="16">
        <f>SUMIF('Conduite principale'!$Q:$Q,BI1,'Conduite principale'!$F:$F)</f>
        <v>0</v>
      </c>
      <c r="BJ3" s="16">
        <f>SUMIF('Conduite principale'!$Q:$Q,BJ1,'Conduite principale'!$F:$F)</f>
        <v>0</v>
      </c>
      <c r="BK3" s="16">
        <f>SUMIF('Conduite principale'!$Q:$Q,BK1,'Conduite principale'!$F:$F)</f>
        <v>0</v>
      </c>
      <c r="BL3" s="16">
        <f>SUMIF('Conduite principale'!$Q:$Q,BL1,'Conduite principale'!$F:$F)</f>
        <v>0</v>
      </c>
      <c r="BM3" s="16">
        <f>SUMIF('Conduite principale'!$Q:$Q,BM1,'Conduite principale'!$F:$F)</f>
        <v>0</v>
      </c>
      <c r="BN3" s="16">
        <f>SUMIF('Conduite principale'!$Q:$Q,BN1,'Conduite principale'!$F:$F)</f>
        <v>0</v>
      </c>
      <c r="BO3" s="16">
        <f>SUMIF('Conduite principale'!$Q:$Q,BO1,'Conduite principale'!$F:$F)</f>
        <v>0</v>
      </c>
      <c r="BP3" s="16">
        <f>SUMIF('Conduite principale'!$Q:$Q,BP1,'Conduite principale'!$F:$F)</f>
        <v>0</v>
      </c>
      <c r="BQ3" s="16">
        <f>SUMIF('Conduite principale'!$Q:$Q,BQ1,'Conduite principale'!$F:$F)</f>
        <v>0</v>
      </c>
      <c r="BR3" s="16">
        <f>SUMIF('Conduite principale'!$Q:$Q,BR1,'Conduite principale'!$F:$F)</f>
        <v>0</v>
      </c>
      <c r="BS3" s="16">
        <f>SUMIF('Conduite principale'!$Q:$Q,BS1,'Conduite principale'!$F:$F)</f>
        <v>0</v>
      </c>
      <c r="BT3" s="16">
        <f>SUMIF('Conduite principale'!$Q:$Q,BT1,'Conduite principale'!$F:$F)</f>
        <v>0</v>
      </c>
      <c r="BU3" s="16">
        <f>SUMIF('Conduite principale'!$Q:$Q,BU1,'Conduite principale'!$F:$F)</f>
        <v>42380.100000000006</v>
      </c>
      <c r="BV3" s="16">
        <f>SUMIF('Conduite principale'!$Q:$Q,BV1,'Conduite principale'!$F:$F)</f>
        <v>0</v>
      </c>
      <c r="BW3" s="16">
        <f>SUMIF('Conduite principale'!$Q:$Q,BW1,'Conduite principale'!$F:$F)</f>
        <v>41738.400000000001</v>
      </c>
      <c r="BX3" s="16">
        <f>SUMIF('Conduite principale'!$Q:$Q,BX1,'Conduite principale'!$F:$F)</f>
        <v>0</v>
      </c>
      <c r="BY3" s="16">
        <f>SUMIF('Conduite principale'!$Q:$Q,BY1,'Conduite principale'!$F:$F)</f>
        <v>54474.75</v>
      </c>
      <c r="BZ3" s="16">
        <f>SUMIF('Conduite principale'!$Q:$Q,BZ1,'Conduite principale'!$F:$F)</f>
        <v>0</v>
      </c>
      <c r="CA3" s="16">
        <f>SUMIF('Conduite principale'!$Q:$Q,CA1,'Conduite principale'!$F:$F)</f>
        <v>0</v>
      </c>
      <c r="CB3" s="16">
        <f>SUMIF('Conduite principale'!$Q:$Q,CB1,'Conduite principale'!$F:$F)</f>
        <v>0</v>
      </c>
      <c r="CC3" s="16">
        <f>SUMIF('Conduite principale'!$Q:$Q,CC1,'Conduite principale'!$F:$F)</f>
        <v>0</v>
      </c>
      <c r="CD3" s="16">
        <f>SUMIF('Conduite principale'!$Q:$Q,CD1,'Conduite principale'!$F:$F)</f>
        <v>0</v>
      </c>
      <c r="CE3" s="16">
        <f>SUMIF('Conduite principale'!$Q:$Q,CE1,'Conduite principale'!$F:$F)</f>
        <v>0</v>
      </c>
      <c r="CF3" s="16">
        <f>SUMIF('Conduite principale'!$Q:$Q,CF1,'Conduite principale'!$F:$F)</f>
        <v>170785.2</v>
      </c>
      <c r="CG3" s="16">
        <f>SUMIF('Conduite principale'!$Q:$Q,CG1,'Conduite principale'!$F:$F)</f>
        <v>0</v>
      </c>
      <c r="CH3" s="16">
        <f>SUMIF('Conduite principale'!$Q:$Q,CH1,'Conduite principale'!$F:$F)</f>
        <v>0</v>
      </c>
      <c r="CI3" s="16">
        <f>SUMIF('Conduite principale'!$Q:$Q,CI1,'Conduite principale'!$F:$F)</f>
        <v>0</v>
      </c>
      <c r="CJ3" s="16">
        <f>SUMIF('Conduite principale'!$Q:$Q,CJ1,'Conduite principale'!$F:$F)</f>
        <v>0</v>
      </c>
      <c r="CK3" s="16">
        <f>SUMIF('Conduite principale'!$Q:$Q,CK1,'Conduite principale'!$F:$F)</f>
        <v>0</v>
      </c>
      <c r="CL3" s="16">
        <f>SUMIF('Conduite principale'!$Q:$Q,CL1,'Conduite principale'!$F:$F)</f>
        <v>0</v>
      </c>
      <c r="CM3" s="16">
        <f>SUMIF('Conduite principale'!$Q:$Q,CM1,'Conduite principale'!$F:$F)</f>
        <v>61263.75</v>
      </c>
      <c r="CN3" s="16">
        <f>SUMIF('Conduite principale'!$Q:$Q,CN1,'Conduite principale'!$F:$F)</f>
        <v>151920.15</v>
      </c>
      <c r="CO3" s="16">
        <f>SUMIF('Conduite principale'!$Q:$Q,CO1,'Conduite principale'!$F:$F)</f>
        <v>0</v>
      </c>
      <c r="CP3" s="16">
        <f>SUMIF('Conduite principale'!$Q:$Q,CP1,'Conduite principale'!$F:$F)</f>
        <v>0</v>
      </c>
      <c r="CQ3" s="16">
        <f>SUMIF('Conduite principale'!$Q:$Q,CQ1,'Conduite principale'!$F:$F)</f>
        <v>539362.80000000005</v>
      </c>
      <c r="CR3" s="16">
        <f>SUMIF('Conduite principale'!$Q:$Q,CR1,'Conduite principale'!$F:$F)</f>
        <v>218675.55</v>
      </c>
      <c r="CS3" s="16">
        <f>SUMIF('Conduite principale'!$Q:$Q,CS1,'Conduite principale'!$F:$F)</f>
        <v>599682.6</v>
      </c>
      <c r="CT3" s="16">
        <f>SUMIF('Conduite principale'!$Q:$Q,CT1,'Conduite principale'!$F:$F)</f>
        <v>434705.25</v>
      </c>
      <c r="CU3" s="16">
        <f>SUMIF('Conduite principale'!$Q:$Q,CU1,'Conduite principale'!$F:$F)</f>
        <v>353460.44999999995</v>
      </c>
      <c r="CV3" s="16">
        <f>SUMIF('Conduite principale'!$Q:$Q,CV1,'Conduite principale'!$F:$F)</f>
        <v>287002.64999999997</v>
      </c>
      <c r="CW3" s="16">
        <f>SUMIF('Conduite principale'!$Q:$Q,CW1,'Conduite principale'!$F:$F)</f>
        <v>246956.84999999998</v>
      </c>
      <c r="CX3" s="16">
        <f>SUMIF('Conduite principale'!$Q:$Q,CX1,'Conduite principale'!$F:$F)</f>
        <v>502925.4</v>
      </c>
      <c r="CY3" s="3">
        <f>SUM(C3:CX3)</f>
        <v>3705333.9</v>
      </c>
    </row>
    <row r="4" spans="2:103" x14ac:dyDescent="0.2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2:103" x14ac:dyDescent="0.25">
      <c r="C5" s="2">
        <f>SUM(C2:C4)</f>
        <v>42380.100000000006</v>
      </c>
      <c r="D5" s="2">
        <f t="shared" ref="D5:BO5" si="0">SUM(D2:D4)</f>
        <v>0</v>
      </c>
      <c r="E5" s="2">
        <f t="shared" si="0"/>
        <v>41738.400000000001</v>
      </c>
      <c r="F5" s="2">
        <f t="shared" si="0"/>
        <v>0</v>
      </c>
      <c r="G5" s="2">
        <f t="shared" si="0"/>
        <v>54474.75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151920.15</v>
      </c>
      <c r="M5" s="2">
        <f t="shared" si="0"/>
        <v>0</v>
      </c>
      <c r="N5" s="2">
        <f t="shared" si="0"/>
        <v>170785.2</v>
      </c>
      <c r="O5" s="2">
        <f t="shared" si="0"/>
        <v>539362.80000000005</v>
      </c>
      <c r="P5" s="2">
        <f t="shared" si="0"/>
        <v>118235.55</v>
      </c>
      <c r="Q5" s="2">
        <f t="shared" si="0"/>
        <v>599682.6</v>
      </c>
      <c r="R5" s="2">
        <f t="shared" si="0"/>
        <v>352302.6</v>
      </c>
      <c r="S5" s="2">
        <f t="shared" si="0"/>
        <v>353460.44999999995</v>
      </c>
      <c r="T5" s="2">
        <f t="shared" si="0"/>
        <v>287002.64999999997</v>
      </c>
      <c r="U5" s="2">
        <f t="shared" si="0"/>
        <v>207748.05</v>
      </c>
      <c r="V5" s="2">
        <f t="shared" si="0"/>
        <v>644959.65</v>
      </c>
      <c r="W5" s="2">
        <f t="shared" si="0"/>
        <v>105438.75</v>
      </c>
      <c r="X5" s="2">
        <f t="shared" si="0"/>
        <v>777577.64999999991</v>
      </c>
      <c r="Y5" s="2">
        <f t="shared" si="0"/>
        <v>133436.4</v>
      </c>
      <c r="Z5" s="2">
        <f t="shared" si="0"/>
        <v>150027.6</v>
      </c>
      <c r="AA5" s="2">
        <f t="shared" si="0"/>
        <v>181917.3</v>
      </c>
      <c r="AB5" s="2">
        <f t="shared" si="0"/>
        <v>199954.65000000002</v>
      </c>
      <c r="AC5" s="2">
        <f t="shared" si="0"/>
        <v>0</v>
      </c>
      <c r="AD5" s="2">
        <f t="shared" si="0"/>
        <v>0</v>
      </c>
      <c r="AE5" s="2">
        <f t="shared" si="0"/>
        <v>660114</v>
      </c>
      <c r="AF5" s="2">
        <f t="shared" si="0"/>
        <v>383820.29999999993</v>
      </c>
      <c r="AG5" s="2">
        <f t="shared" si="0"/>
        <v>470533.5</v>
      </c>
      <c r="AH5" s="2">
        <f t="shared" si="0"/>
        <v>359626.35000000003</v>
      </c>
      <c r="AI5" s="2">
        <f t="shared" si="0"/>
        <v>482488.65</v>
      </c>
      <c r="AJ5" s="2">
        <f t="shared" si="0"/>
        <v>157755.89999999997</v>
      </c>
      <c r="AK5" s="2">
        <f t="shared" si="0"/>
        <v>594242.1</v>
      </c>
      <c r="AL5" s="2">
        <f t="shared" si="0"/>
        <v>360640.05</v>
      </c>
      <c r="AM5" s="2">
        <f t="shared" si="0"/>
        <v>99844.799999999988</v>
      </c>
      <c r="AN5" s="2">
        <f t="shared" si="0"/>
        <v>366996.60000000003</v>
      </c>
      <c r="AO5" s="2">
        <f t="shared" si="0"/>
        <v>735802.04999999981</v>
      </c>
      <c r="AP5" s="2">
        <f t="shared" si="0"/>
        <v>433431.14999999997</v>
      </c>
      <c r="AQ5" s="2">
        <f t="shared" si="0"/>
        <v>489812.40000000008</v>
      </c>
      <c r="AR5" s="2">
        <f t="shared" si="0"/>
        <v>353372.1</v>
      </c>
      <c r="AS5" s="2">
        <f t="shared" si="0"/>
        <v>391502.10000000003</v>
      </c>
      <c r="AT5" s="2">
        <f t="shared" si="0"/>
        <v>371521.05</v>
      </c>
      <c r="AU5" s="2">
        <f t="shared" si="0"/>
        <v>377296.35</v>
      </c>
      <c r="AV5" s="2">
        <f t="shared" si="0"/>
        <v>107391.75</v>
      </c>
      <c r="AW5" s="2">
        <f t="shared" si="0"/>
        <v>218605.8</v>
      </c>
      <c r="AX5" s="2">
        <f t="shared" si="0"/>
        <v>547249.19999999995</v>
      </c>
      <c r="AY5" s="2">
        <f t="shared" si="0"/>
        <v>375343.35</v>
      </c>
      <c r="AZ5" s="2">
        <f t="shared" si="0"/>
        <v>115417.65</v>
      </c>
      <c r="BA5" s="2">
        <f t="shared" si="0"/>
        <v>349154.55</v>
      </c>
      <c r="BB5" s="2">
        <f t="shared" si="0"/>
        <v>36828</v>
      </c>
      <c r="BC5" s="2">
        <f t="shared" si="0"/>
        <v>207915.45</v>
      </c>
      <c r="BD5" s="2">
        <f t="shared" si="0"/>
        <v>203702.55</v>
      </c>
      <c r="BE5" s="2">
        <f t="shared" si="0"/>
        <v>128005.2</v>
      </c>
      <c r="BF5" s="2">
        <f t="shared" si="0"/>
        <v>0</v>
      </c>
      <c r="BG5" s="2">
        <f t="shared" si="0"/>
        <v>241595.4</v>
      </c>
      <c r="BH5" s="2">
        <f t="shared" si="0"/>
        <v>213611.7</v>
      </c>
      <c r="BI5" s="2">
        <f t="shared" si="0"/>
        <v>0</v>
      </c>
      <c r="BJ5" s="2">
        <f t="shared" si="0"/>
        <v>233397.44999999995</v>
      </c>
      <c r="BK5" s="2">
        <f t="shared" si="0"/>
        <v>395045.39999999997</v>
      </c>
      <c r="BL5" s="2">
        <f t="shared" si="0"/>
        <v>212616.59999999998</v>
      </c>
      <c r="BM5" s="2">
        <f t="shared" si="0"/>
        <v>295470.30000000005</v>
      </c>
      <c r="BN5" s="2">
        <f t="shared" si="0"/>
        <v>0</v>
      </c>
      <c r="BO5" s="2">
        <f t="shared" si="0"/>
        <v>0</v>
      </c>
      <c r="BP5" s="2">
        <f t="shared" ref="BP5:CY5" si="1">SUM(BP2:BP4)</f>
        <v>0</v>
      </c>
      <c r="BQ5" s="2">
        <f t="shared" si="1"/>
        <v>0</v>
      </c>
      <c r="BR5" s="2">
        <f t="shared" si="1"/>
        <v>0</v>
      </c>
      <c r="BS5" s="2">
        <f t="shared" si="1"/>
        <v>0</v>
      </c>
      <c r="BT5" s="2">
        <f t="shared" si="1"/>
        <v>0</v>
      </c>
      <c r="BU5" s="2">
        <f t="shared" si="1"/>
        <v>42380.100000000006</v>
      </c>
      <c r="BV5" s="2">
        <f t="shared" si="1"/>
        <v>0</v>
      </c>
      <c r="BW5" s="2">
        <f t="shared" si="1"/>
        <v>41738.400000000001</v>
      </c>
      <c r="BX5" s="2">
        <f t="shared" si="1"/>
        <v>0</v>
      </c>
      <c r="BY5" s="2">
        <f t="shared" si="1"/>
        <v>54474.75</v>
      </c>
      <c r="BZ5" s="2">
        <f t="shared" si="1"/>
        <v>0</v>
      </c>
      <c r="CA5" s="2">
        <f t="shared" si="1"/>
        <v>0</v>
      </c>
      <c r="CB5" s="2">
        <f t="shared" si="1"/>
        <v>0</v>
      </c>
      <c r="CC5" s="2">
        <f t="shared" si="1"/>
        <v>0</v>
      </c>
      <c r="CD5" s="2">
        <f t="shared" si="1"/>
        <v>0</v>
      </c>
      <c r="CE5" s="2">
        <f t="shared" si="1"/>
        <v>0</v>
      </c>
      <c r="CF5" s="2">
        <f t="shared" si="1"/>
        <v>170785.2</v>
      </c>
      <c r="CG5" s="2">
        <f t="shared" si="1"/>
        <v>0</v>
      </c>
      <c r="CH5" s="2">
        <f t="shared" si="1"/>
        <v>0</v>
      </c>
      <c r="CI5" s="2">
        <f t="shared" si="1"/>
        <v>0</v>
      </c>
      <c r="CJ5" s="2">
        <f t="shared" si="1"/>
        <v>0</v>
      </c>
      <c r="CK5" s="2">
        <f t="shared" si="1"/>
        <v>0</v>
      </c>
      <c r="CL5" s="2">
        <f t="shared" si="1"/>
        <v>0</v>
      </c>
      <c r="CM5" s="2">
        <f t="shared" si="1"/>
        <v>61263.75</v>
      </c>
      <c r="CN5" s="2">
        <f t="shared" si="1"/>
        <v>151920.15</v>
      </c>
      <c r="CO5" s="2">
        <f t="shared" si="1"/>
        <v>0</v>
      </c>
      <c r="CP5" s="2">
        <f t="shared" si="1"/>
        <v>0</v>
      </c>
      <c r="CQ5" s="2">
        <f t="shared" si="1"/>
        <v>539362.80000000005</v>
      </c>
      <c r="CR5" s="2">
        <f t="shared" si="1"/>
        <v>218675.55</v>
      </c>
      <c r="CS5" s="2">
        <f t="shared" si="1"/>
        <v>599682.6</v>
      </c>
      <c r="CT5" s="2">
        <f t="shared" si="1"/>
        <v>434705.25</v>
      </c>
      <c r="CU5" s="2">
        <f t="shared" si="1"/>
        <v>353460.44999999995</v>
      </c>
      <c r="CV5" s="2">
        <f t="shared" si="1"/>
        <v>287002.64999999997</v>
      </c>
      <c r="CW5" s="2">
        <f t="shared" si="1"/>
        <v>246956.84999999998</v>
      </c>
      <c r="CX5" s="2">
        <f t="shared" si="1"/>
        <v>502925.4</v>
      </c>
      <c r="CY5" s="2">
        <f t="shared" si="1"/>
        <v>19787889</v>
      </c>
    </row>
    <row r="6" spans="2:103" x14ac:dyDescent="0.25">
      <c r="C6" s="2">
        <f>SUM(C5:CX5)</f>
        <v>19787889</v>
      </c>
    </row>
    <row r="7" spans="2:103" x14ac:dyDescent="0.25">
      <c r="C7" s="2">
        <f>C6/100</f>
        <v>197878.89</v>
      </c>
      <c r="D7" s="3">
        <f>C7</f>
        <v>197878.89</v>
      </c>
      <c r="E7" s="3">
        <f t="shared" ref="E7:BP7" si="2">D7</f>
        <v>197878.89</v>
      </c>
      <c r="F7" s="3">
        <f t="shared" si="2"/>
        <v>197878.89</v>
      </c>
      <c r="G7" s="3">
        <f t="shared" si="2"/>
        <v>197878.89</v>
      </c>
      <c r="H7" s="3">
        <f t="shared" si="2"/>
        <v>197878.89</v>
      </c>
      <c r="I7" s="3">
        <f t="shared" si="2"/>
        <v>197878.89</v>
      </c>
      <c r="J7" s="3">
        <f t="shared" si="2"/>
        <v>197878.89</v>
      </c>
      <c r="K7" s="3">
        <f t="shared" si="2"/>
        <v>197878.89</v>
      </c>
      <c r="L7" s="3">
        <f t="shared" si="2"/>
        <v>197878.89</v>
      </c>
      <c r="M7" s="3">
        <f t="shared" si="2"/>
        <v>197878.89</v>
      </c>
      <c r="N7" s="3">
        <f t="shared" si="2"/>
        <v>197878.89</v>
      </c>
      <c r="O7" s="3">
        <f t="shared" si="2"/>
        <v>197878.89</v>
      </c>
      <c r="P7" s="3">
        <f t="shared" si="2"/>
        <v>197878.89</v>
      </c>
      <c r="Q7" s="3">
        <f t="shared" si="2"/>
        <v>197878.89</v>
      </c>
      <c r="R7" s="3">
        <f t="shared" si="2"/>
        <v>197878.89</v>
      </c>
      <c r="S7" s="3">
        <f t="shared" si="2"/>
        <v>197878.89</v>
      </c>
      <c r="T7" s="3">
        <f t="shared" si="2"/>
        <v>197878.89</v>
      </c>
      <c r="U7" s="3">
        <f t="shared" si="2"/>
        <v>197878.89</v>
      </c>
      <c r="V7" s="3">
        <f t="shared" si="2"/>
        <v>197878.89</v>
      </c>
      <c r="W7" s="3">
        <f t="shared" si="2"/>
        <v>197878.89</v>
      </c>
      <c r="X7" s="3">
        <f t="shared" si="2"/>
        <v>197878.89</v>
      </c>
      <c r="Y7" s="3">
        <f t="shared" si="2"/>
        <v>197878.89</v>
      </c>
      <c r="Z7" s="3">
        <f t="shared" si="2"/>
        <v>197878.89</v>
      </c>
      <c r="AA7" s="3">
        <f t="shared" si="2"/>
        <v>197878.89</v>
      </c>
      <c r="AB7" s="3">
        <f t="shared" si="2"/>
        <v>197878.89</v>
      </c>
      <c r="AC7" s="3">
        <f t="shared" si="2"/>
        <v>197878.89</v>
      </c>
      <c r="AD7" s="3">
        <f t="shared" si="2"/>
        <v>197878.89</v>
      </c>
      <c r="AE7" s="3">
        <f t="shared" si="2"/>
        <v>197878.89</v>
      </c>
      <c r="AF7" s="3">
        <f t="shared" si="2"/>
        <v>197878.89</v>
      </c>
      <c r="AG7" s="3">
        <f t="shared" si="2"/>
        <v>197878.89</v>
      </c>
      <c r="AH7" s="3">
        <f t="shared" si="2"/>
        <v>197878.89</v>
      </c>
      <c r="AI7" s="3">
        <f t="shared" si="2"/>
        <v>197878.89</v>
      </c>
      <c r="AJ7" s="3">
        <f t="shared" si="2"/>
        <v>197878.89</v>
      </c>
      <c r="AK7" s="3">
        <f t="shared" si="2"/>
        <v>197878.89</v>
      </c>
      <c r="AL7" s="3">
        <f t="shared" si="2"/>
        <v>197878.89</v>
      </c>
      <c r="AM7" s="3">
        <f t="shared" si="2"/>
        <v>197878.89</v>
      </c>
      <c r="AN7" s="3">
        <f t="shared" si="2"/>
        <v>197878.89</v>
      </c>
      <c r="AO7" s="3">
        <f t="shared" si="2"/>
        <v>197878.89</v>
      </c>
      <c r="AP7" s="3">
        <f t="shared" si="2"/>
        <v>197878.89</v>
      </c>
      <c r="AQ7" s="3">
        <f t="shared" si="2"/>
        <v>197878.89</v>
      </c>
      <c r="AR7" s="3">
        <f t="shared" si="2"/>
        <v>197878.89</v>
      </c>
      <c r="AS7" s="3">
        <f t="shared" si="2"/>
        <v>197878.89</v>
      </c>
      <c r="AT7" s="3">
        <f t="shared" si="2"/>
        <v>197878.89</v>
      </c>
      <c r="AU7" s="3">
        <f t="shared" si="2"/>
        <v>197878.89</v>
      </c>
      <c r="AV7" s="3">
        <f t="shared" si="2"/>
        <v>197878.89</v>
      </c>
      <c r="AW7" s="3">
        <f t="shared" si="2"/>
        <v>197878.89</v>
      </c>
      <c r="AX7" s="3">
        <f t="shared" si="2"/>
        <v>197878.89</v>
      </c>
      <c r="AY7" s="3">
        <f t="shared" si="2"/>
        <v>197878.89</v>
      </c>
      <c r="AZ7" s="3">
        <f t="shared" si="2"/>
        <v>197878.89</v>
      </c>
      <c r="BA7" s="3">
        <f t="shared" si="2"/>
        <v>197878.89</v>
      </c>
      <c r="BB7" s="3">
        <f t="shared" si="2"/>
        <v>197878.89</v>
      </c>
      <c r="BC7" s="3">
        <f t="shared" si="2"/>
        <v>197878.89</v>
      </c>
      <c r="BD7" s="3">
        <f t="shared" si="2"/>
        <v>197878.89</v>
      </c>
      <c r="BE7" s="3">
        <f t="shared" si="2"/>
        <v>197878.89</v>
      </c>
      <c r="BF7" s="3">
        <f t="shared" si="2"/>
        <v>197878.89</v>
      </c>
      <c r="BG7" s="3">
        <f t="shared" si="2"/>
        <v>197878.89</v>
      </c>
      <c r="BH7" s="3">
        <f t="shared" si="2"/>
        <v>197878.89</v>
      </c>
      <c r="BI7" s="3">
        <f t="shared" si="2"/>
        <v>197878.89</v>
      </c>
      <c r="BJ7" s="3">
        <f t="shared" si="2"/>
        <v>197878.89</v>
      </c>
      <c r="BK7" s="3">
        <f t="shared" si="2"/>
        <v>197878.89</v>
      </c>
      <c r="BL7" s="3">
        <f t="shared" si="2"/>
        <v>197878.89</v>
      </c>
      <c r="BM7" s="3">
        <f t="shared" si="2"/>
        <v>197878.89</v>
      </c>
      <c r="BN7" s="3">
        <f t="shared" si="2"/>
        <v>197878.89</v>
      </c>
      <c r="BO7" s="3">
        <f t="shared" si="2"/>
        <v>197878.89</v>
      </c>
      <c r="BP7" s="3">
        <f t="shared" si="2"/>
        <v>197878.89</v>
      </c>
      <c r="BQ7" s="3">
        <f t="shared" ref="BQ7:CX7" si="3">BP7</f>
        <v>197878.89</v>
      </c>
      <c r="BR7" s="3">
        <f t="shared" si="3"/>
        <v>197878.89</v>
      </c>
      <c r="BS7" s="3">
        <f t="shared" si="3"/>
        <v>197878.89</v>
      </c>
      <c r="BT7" s="3">
        <f t="shared" si="3"/>
        <v>197878.89</v>
      </c>
      <c r="BU7" s="3">
        <f t="shared" si="3"/>
        <v>197878.89</v>
      </c>
      <c r="BV7" s="3">
        <f t="shared" si="3"/>
        <v>197878.89</v>
      </c>
      <c r="BW7" s="3">
        <f t="shared" si="3"/>
        <v>197878.89</v>
      </c>
      <c r="BX7" s="3">
        <f t="shared" si="3"/>
        <v>197878.89</v>
      </c>
      <c r="BY7" s="3">
        <f t="shared" si="3"/>
        <v>197878.89</v>
      </c>
      <c r="BZ7" s="3">
        <f t="shared" si="3"/>
        <v>197878.89</v>
      </c>
      <c r="CA7" s="3">
        <f t="shared" si="3"/>
        <v>197878.89</v>
      </c>
      <c r="CB7" s="3">
        <f t="shared" si="3"/>
        <v>197878.89</v>
      </c>
      <c r="CC7" s="3">
        <f t="shared" si="3"/>
        <v>197878.89</v>
      </c>
      <c r="CD7" s="3">
        <f t="shared" si="3"/>
        <v>197878.89</v>
      </c>
      <c r="CE7" s="3">
        <f t="shared" si="3"/>
        <v>197878.89</v>
      </c>
      <c r="CF7" s="3">
        <f t="shared" si="3"/>
        <v>197878.89</v>
      </c>
      <c r="CG7" s="3">
        <f t="shared" si="3"/>
        <v>197878.89</v>
      </c>
      <c r="CH7" s="3">
        <f t="shared" si="3"/>
        <v>197878.89</v>
      </c>
      <c r="CI7" s="3">
        <f t="shared" si="3"/>
        <v>197878.89</v>
      </c>
      <c r="CJ7" s="3">
        <f t="shared" si="3"/>
        <v>197878.89</v>
      </c>
      <c r="CK7" s="3">
        <f t="shared" si="3"/>
        <v>197878.89</v>
      </c>
      <c r="CL7" s="3">
        <f t="shared" si="3"/>
        <v>197878.89</v>
      </c>
      <c r="CM7" s="3">
        <f t="shared" si="3"/>
        <v>197878.89</v>
      </c>
      <c r="CN7" s="3">
        <f t="shared" si="3"/>
        <v>197878.89</v>
      </c>
      <c r="CO7" s="3">
        <f t="shared" si="3"/>
        <v>197878.89</v>
      </c>
      <c r="CP7" s="3">
        <f t="shared" si="3"/>
        <v>197878.89</v>
      </c>
      <c r="CQ7" s="3">
        <f t="shared" si="3"/>
        <v>197878.89</v>
      </c>
      <c r="CR7" s="3">
        <f t="shared" si="3"/>
        <v>197878.89</v>
      </c>
      <c r="CS7" s="3">
        <f t="shared" si="3"/>
        <v>197878.89</v>
      </c>
      <c r="CT7" s="3">
        <f t="shared" si="3"/>
        <v>197878.89</v>
      </c>
      <c r="CU7" s="3">
        <f t="shared" si="3"/>
        <v>197878.89</v>
      </c>
      <c r="CV7" s="3">
        <f t="shared" si="3"/>
        <v>197878.89</v>
      </c>
      <c r="CW7" s="3">
        <f t="shared" si="3"/>
        <v>197878.89</v>
      </c>
      <c r="CX7" s="3">
        <f t="shared" si="3"/>
        <v>197878.89</v>
      </c>
    </row>
    <row r="25" spans="2:102" x14ac:dyDescent="0.25">
      <c r="B25" t="s">
        <v>392</v>
      </c>
      <c r="C25">
        <v>2024</v>
      </c>
      <c r="D25">
        <v>2025</v>
      </c>
      <c r="E25">
        <v>2026</v>
      </c>
      <c r="F25">
        <v>2027</v>
      </c>
      <c r="G25">
        <v>2028</v>
      </c>
      <c r="H25">
        <v>2029</v>
      </c>
      <c r="I25">
        <v>2030</v>
      </c>
      <c r="J25">
        <v>2031</v>
      </c>
      <c r="K25">
        <v>2032</v>
      </c>
      <c r="L25">
        <v>2033</v>
      </c>
      <c r="M25">
        <v>2034</v>
      </c>
      <c r="N25">
        <v>2035</v>
      </c>
      <c r="O25">
        <v>2036</v>
      </c>
      <c r="P25">
        <v>2037</v>
      </c>
      <c r="Q25">
        <v>2038</v>
      </c>
      <c r="R25">
        <v>2039</v>
      </c>
      <c r="S25">
        <v>2040</v>
      </c>
      <c r="T25">
        <v>2041</v>
      </c>
      <c r="U25">
        <v>2042</v>
      </c>
      <c r="V25">
        <v>2043</v>
      </c>
      <c r="W25">
        <v>2044</v>
      </c>
      <c r="X25">
        <v>2045</v>
      </c>
      <c r="Y25">
        <v>2046</v>
      </c>
      <c r="Z25">
        <v>2047</v>
      </c>
      <c r="AA25">
        <v>2048</v>
      </c>
      <c r="AB25">
        <v>2049</v>
      </c>
      <c r="AC25">
        <v>2050</v>
      </c>
      <c r="AD25">
        <v>2051</v>
      </c>
      <c r="AE25">
        <v>2052</v>
      </c>
      <c r="AF25">
        <v>2053</v>
      </c>
      <c r="AG25">
        <v>2054</v>
      </c>
      <c r="AH25">
        <v>2055</v>
      </c>
      <c r="AI25">
        <v>2056</v>
      </c>
      <c r="AJ25">
        <v>2057</v>
      </c>
      <c r="AK25">
        <v>2058</v>
      </c>
      <c r="AL25">
        <v>2059</v>
      </c>
      <c r="AM25">
        <v>2060</v>
      </c>
      <c r="AN25">
        <v>2061</v>
      </c>
      <c r="AO25">
        <v>2062</v>
      </c>
      <c r="AP25">
        <v>2063</v>
      </c>
      <c r="AQ25">
        <v>2064</v>
      </c>
      <c r="AR25">
        <v>2065</v>
      </c>
      <c r="AS25">
        <v>2066</v>
      </c>
      <c r="AT25">
        <v>2067</v>
      </c>
      <c r="AU25">
        <v>2068</v>
      </c>
      <c r="AV25">
        <v>2069</v>
      </c>
      <c r="AW25">
        <v>2070</v>
      </c>
      <c r="AX25">
        <v>2071</v>
      </c>
      <c r="AY25">
        <v>2072</v>
      </c>
      <c r="AZ25">
        <v>2073</v>
      </c>
      <c r="BA25">
        <v>2074</v>
      </c>
      <c r="BB25">
        <v>2075</v>
      </c>
      <c r="BC25">
        <v>2076</v>
      </c>
      <c r="BD25">
        <v>2077</v>
      </c>
      <c r="BE25">
        <v>2078</v>
      </c>
      <c r="BF25">
        <v>2079</v>
      </c>
      <c r="BG25">
        <v>2080</v>
      </c>
      <c r="BH25">
        <v>2081</v>
      </c>
      <c r="BI25">
        <v>2082</v>
      </c>
      <c r="BJ25">
        <v>2083</v>
      </c>
      <c r="BK25">
        <v>2084</v>
      </c>
      <c r="BL25">
        <v>2085</v>
      </c>
      <c r="BM25">
        <v>2086</v>
      </c>
      <c r="BN25">
        <v>2087</v>
      </c>
      <c r="BO25">
        <v>2088</v>
      </c>
      <c r="BP25">
        <v>2089</v>
      </c>
      <c r="BQ25">
        <v>2090</v>
      </c>
      <c r="BR25">
        <v>2091</v>
      </c>
      <c r="BS25">
        <v>2092</v>
      </c>
      <c r="BT25">
        <v>2093</v>
      </c>
      <c r="BU25">
        <v>2094</v>
      </c>
      <c r="BV25">
        <v>2095</v>
      </c>
      <c r="BW25">
        <v>2096</v>
      </c>
      <c r="BX25">
        <v>2097</v>
      </c>
      <c r="BY25">
        <v>2098</v>
      </c>
      <c r="BZ25">
        <v>2099</v>
      </c>
      <c r="CA25">
        <v>2100</v>
      </c>
      <c r="CB25">
        <v>2101</v>
      </c>
      <c r="CC25">
        <v>2102</v>
      </c>
      <c r="CD25">
        <v>2103</v>
      </c>
      <c r="CE25">
        <v>2104</v>
      </c>
      <c r="CF25">
        <v>2105</v>
      </c>
      <c r="CG25">
        <v>2106</v>
      </c>
      <c r="CH25">
        <v>2107</v>
      </c>
      <c r="CI25">
        <v>2108</v>
      </c>
      <c r="CJ25">
        <v>2109</v>
      </c>
      <c r="CK25">
        <v>2110</v>
      </c>
      <c r="CL25">
        <v>2111</v>
      </c>
      <c r="CM25">
        <v>2112</v>
      </c>
      <c r="CN25">
        <v>2113</v>
      </c>
      <c r="CO25">
        <v>2114</v>
      </c>
      <c r="CP25">
        <v>2115</v>
      </c>
      <c r="CQ25">
        <v>2116</v>
      </c>
      <c r="CR25">
        <v>2117</v>
      </c>
      <c r="CS25">
        <v>2118</v>
      </c>
      <c r="CT25">
        <v>2119</v>
      </c>
      <c r="CU25">
        <v>2120</v>
      </c>
      <c r="CV25">
        <v>2121</v>
      </c>
      <c r="CW25">
        <v>2122</v>
      </c>
      <c r="CX25">
        <v>2123</v>
      </c>
    </row>
    <row r="26" spans="2:102" x14ac:dyDescent="0.25">
      <c r="B26" t="s">
        <v>393</v>
      </c>
      <c r="C26" s="2">
        <v>500000</v>
      </c>
      <c r="D26" s="3">
        <f>C30</f>
        <v>567619.9</v>
      </c>
      <c r="E26" s="3">
        <f>D30</f>
        <v>677619.9</v>
      </c>
      <c r="F26" s="3">
        <f t="shared" ref="F26:BQ26" si="4">E30</f>
        <v>745881.5</v>
      </c>
      <c r="G26" s="3">
        <f t="shared" si="4"/>
        <v>855881.5</v>
      </c>
      <c r="H26" s="3">
        <f t="shared" si="4"/>
        <v>911406.75</v>
      </c>
      <c r="I26" s="3">
        <f t="shared" si="4"/>
        <v>1021406.75</v>
      </c>
      <c r="J26" s="3">
        <f t="shared" si="4"/>
        <v>1131406.75</v>
      </c>
      <c r="K26" s="3">
        <f t="shared" si="4"/>
        <v>1241406.75</v>
      </c>
      <c r="L26" s="3">
        <f t="shared" si="4"/>
        <v>1351406.75</v>
      </c>
      <c r="M26" s="3">
        <f t="shared" si="4"/>
        <v>1309486.6000000001</v>
      </c>
      <c r="N26" s="3">
        <f t="shared" si="4"/>
        <v>1419486.6</v>
      </c>
      <c r="O26" s="3">
        <f t="shared" si="4"/>
        <v>1358701.4000000001</v>
      </c>
      <c r="P26" s="3">
        <f t="shared" si="4"/>
        <v>929338.60000000009</v>
      </c>
      <c r="Q26" s="3">
        <f t="shared" si="4"/>
        <v>921103.05</v>
      </c>
      <c r="R26" s="3">
        <f t="shared" si="4"/>
        <v>431420.45000000007</v>
      </c>
      <c r="S26" s="3">
        <f t="shared" si="4"/>
        <v>189117.85000000009</v>
      </c>
      <c r="T26" s="3">
        <f t="shared" si="4"/>
        <v>-54342.59999999986</v>
      </c>
      <c r="U26" s="3">
        <f t="shared" si="4"/>
        <v>-231345.24999999983</v>
      </c>
      <c r="V26" s="3">
        <f t="shared" si="4"/>
        <v>-329093.29999999981</v>
      </c>
      <c r="W26" s="3">
        <f t="shared" si="4"/>
        <v>-864052.94999999984</v>
      </c>
      <c r="X26" s="3">
        <f t="shared" si="4"/>
        <v>-859491.69999999984</v>
      </c>
      <c r="Y26" s="3">
        <f t="shared" si="4"/>
        <v>-1527069.3499999996</v>
      </c>
      <c r="Z26" s="3">
        <f t="shared" si="4"/>
        <v>-1550505.7499999995</v>
      </c>
      <c r="AA26" s="3">
        <f t="shared" si="4"/>
        <v>-1590533.3499999996</v>
      </c>
      <c r="AB26" s="3">
        <f t="shared" si="4"/>
        <v>-1662450.6499999997</v>
      </c>
      <c r="AC26" s="3">
        <f t="shared" si="4"/>
        <v>-1752405.2999999998</v>
      </c>
      <c r="AD26" s="3">
        <f t="shared" si="4"/>
        <v>-1642405.2999999998</v>
      </c>
      <c r="AE26" s="3">
        <f t="shared" si="4"/>
        <v>-1532405.2999999998</v>
      </c>
      <c r="AF26" s="3">
        <f t="shared" si="4"/>
        <v>-2082519.2999999998</v>
      </c>
      <c r="AG26" s="3">
        <f t="shared" si="4"/>
        <v>-2356339.5999999996</v>
      </c>
      <c r="AH26" s="3">
        <f t="shared" si="4"/>
        <v>-2716873.0999999996</v>
      </c>
      <c r="AI26" s="3">
        <f t="shared" si="4"/>
        <v>-2966499.4499999997</v>
      </c>
      <c r="AJ26" s="3">
        <f t="shared" si="4"/>
        <v>-3338988.0999999996</v>
      </c>
      <c r="AK26" s="3">
        <f t="shared" si="4"/>
        <v>-3386743.9999999995</v>
      </c>
      <c r="AL26" s="3">
        <f t="shared" si="4"/>
        <v>-3870986.0999999996</v>
      </c>
      <c r="AM26" s="3">
        <f t="shared" si="4"/>
        <v>-4121626.1499999994</v>
      </c>
      <c r="AN26" s="3">
        <f t="shared" si="4"/>
        <v>-4111470.9499999993</v>
      </c>
      <c r="AO26" s="3">
        <f t="shared" si="4"/>
        <v>-4368467.5499999989</v>
      </c>
      <c r="AP26" s="3">
        <f t="shared" si="4"/>
        <v>-4994269.5999999987</v>
      </c>
      <c r="AQ26" s="3">
        <f t="shared" si="4"/>
        <v>-5317700.7499999991</v>
      </c>
      <c r="AR26" s="3">
        <f t="shared" si="4"/>
        <v>-5697513.1499999994</v>
      </c>
      <c r="AS26" s="3">
        <f t="shared" si="4"/>
        <v>-5940885.2499999991</v>
      </c>
      <c r="AT26" s="3">
        <f t="shared" si="4"/>
        <v>-6222387.3499999987</v>
      </c>
      <c r="AU26" s="3">
        <f t="shared" si="4"/>
        <v>-6483908.3999999985</v>
      </c>
      <c r="AV26" s="3">
        <f t="shared" si="4"/>
        <v>-6751204.7499999981</v>
      </c>
      <c r="AW26" s="3">
        <f t="shared" si="4"/>
        <v>-6748596.4999999981</v>
      </c>
      <c r="AX26" s="3">
        <f t="shared" si="4"/>
        <v>-6857202.299999998</v>
      </c>
      <c r="AY26" s="3">
        <f t="shared" si="4"/>
        <v>-7294451.4999999981</v>
      </c>
      <c r="AZ26" s="3">
        <f t="shared" si="4"/>
        <v>-7559794.8499999978</v>
      </c>
      <c r="BA26" s="3">
        <f t="shared" si="4"/>
        <v>-7565212.4999999981</v>
      </c>
      <c r="BB26" s="3">
        <f t="shared" si="4"/>
        <v>-7804367.049999998</v>
      </c>
      <c r="BC26" s="3">
        <f t="shared" si="4"/>
        <v>-7731195.049999998</v>
      </c>
      <c r="BD26" s="3">
        <f t="shared" si="4"/>
        <v>-7829110.4999999981</v>
      </c>
      <c r="BE26" s="3">
        <f t="shared" si="4"/>
        <v>-7922813.049999998</v>
      </c>
      <c r="BF26" s="3">
        <f t="shared" si="4"/>
        <v>-7940818.2499999981</v>
      </c>
      <c r="BG26" s="3">
        <f t="shared" si="4"/>
        <v>-7830818.2499999981</v>
      </c>
      <c r="BH26" s="3">
        <f t="shared" si="4"/>
        <v>-7962413.6499999985</v>
      </c>
      <c r="BI26" s="3">
        <f t="shared" si="4"/>
        <v>-8066025.3499999987</v>
      </c>
      <c r="BJ26" s="3">
        <f t="shared" si="4"/>
        <v>-7956025.3499999987</v>
      </c>
      <c r="BK26" s="3">
        <f t="shared" si="4"/>
        <v>-8079422.7999999989</v>
      </c>
      <c r="BL26" s="3">
        <f t="shared" si="4"/>
        <v>-8364468.1999999993</v>
      </c>
      <c r="BM26" s="3">
        <f t="shared" si="4"/>
        <v>-8467084.7999999989</v>
      </c>
      <c r="BN26" s="3">
        <f t="shared" si="4"/>
        <v>-8652555.0999999996</v>
      </c>
      <c r="BO26" s="3">
        <f t="shared" si="4"/>
        <v>-8542555.0999999996</v>
      </c>
      <c r="BP26" s="3">
        <f t="shared" si="4"/>
        <v>-8432555.0999999996</v>
      </c>
      <c r="BQ26" s="3">
        <f t="shared" si="4"/>
        <v>-8322555.0999999996</v>
      </c>
      <c r="BR26" s="3">
        <f t="shared" ref="BR26:CX26" si="5">BQ30</f>
        <v>-8212555.0999999996</v>
      </c>
      <c r="BS26" s="3">
        <f t="shared" si="5"/>
        <v>-8102555.0999999996</v>
      </c>
      <c r="BT26" s="3">
        <f t="shared" si="5"/>
        <v>-7992555.0999999996</v>
      </c>
      <c r="BU26" s="3">
        <f t="shared" si="5"/>
        <v>-7882555.0999999996</v>
      </c>
      <c r="BV26" s="3">
        <f t="shared" si="5"/>
        <v>-7814935.1999999993</v>
      </c>
      <c r="BW26" s="3">
        <f t="shared" si="5"/>
        <v>-7704935.1999999993</v>
      </c>
      <c r="BX26" s="3">
        <f t="shared" si="5"/>
        <v>-7636673.5999999996</v>
      </c>
      <c r="BY26" s="3">
        <f t="shared" si="5"/>
        <v>-7526673.5999999996</v>
      </c>
      <c r="BZ26" s="3">
        <f t="shared" si="5"/>
        <v>-7471148.3499999996</v>
      </c>
      <c r="CA26" s="3">
        <f t="shared" si="5"/>
        <v>-7361148.3499999996</v>
      </c>
      <c r="CB26" s="3">
        <f t="shared" si="5"/>
        <v>-7251148.3499999996</v>
      </c>
      <c r="CC26" s="3">
        <f t="shared" si="5"/>
        <v>-7141148.3499999996</v>
      </c>
      <c r="CD26" s="3">
        <f t="shared" si="5"/>
        <v>-7031148.3499999996</v>
      </c>
      <c r="CE26" s="3">
        <f t="shared" si="5"/>
        <v>-6921148.3499999996</v>
      </c>
      <c r="CF26" s="3">
        <f t="shared" si="5"/>
        <v>-6811148.3499999996</v>
      </c>
      <c r="CG26" s="3">
        <f t="shared" si="5"/>
        <v>-6871933.5499999998</v>
      </c>
      <c r="CH26" s="3">
        <f t="shared" si="5"/>
        <v>-6761933.5499999998</v>
      </c>
      <c r="CI26" s="3">
        <f t="shared" si="5"/>
        <v>-6651933.5499999998</v>
      </c>
      <c r="CJ26" s="3">
        <f t="shared" si="5"/>
        <v>-6541933.5499999998</v>
      </c>
      <c r="CK26" s="3">
        <f t="shared" si="5"/>
        <v>-6431933.5499999998</v>
      </c>
      <c r="CL26" s="3">
        <f t="shared" si="5"/>
        <v>-6321933.5499999998</v>
      </c>
      <c r="CM26" s="3">
        <f t="shared" si="5"/>
        <v>-6211933.5499999998</v>
      </c>
      <c r="CN26" s="3">
        <f t="shared" si="5"/>
        <v>-6163197.2999999998</v>
      </c>
      <c r="CO26" s="3">
        <f t="shared" si="5"/>
        <v>-6205117.4500000002</v>
      </c>
      <c r="CP26" s="3">
        <f t="shared" si="5"/>
        <v>-6095117.4500000002</v>
      </c>
      <c r="CQ26" s="3">
        <f t="shared" si="5"/>
        <v>-5985117.4500000002</v>
      </c>
      <c r="CR26" s="3">
        <f t="shared" si="5"/>
        <v>-6414480.25</v>
      </c>
      <c r="CS26" s="3">
        <f t="shared" si="5"/>
        <v>-6523155.7999999998</v>
      </c>
      <c r="CT26" s="3">
        <f t="shared" si="5"/>
        <v>-7012838.3999999994</v>
      </c>
      <c r="CU26" s="3">
        <f t="shared" si="5"/>
        <v>-7337543.6499999994</v>
      </c>
      <c r="CV26" s="3">
        <f t="shared" si="5"/>
        <v>-7581004.0999999996</v>
      </c>
      <c r="CW26" s="3">
        <f t="shared" si="5"/>
        <v>-7758006.75</v>
      </c>
      <c r="CX26" s="3">
        <f t="shared" si="5"/>
        <v>-7894963.5999999996</v>
      </c>
    </row>
    <row r="27" spans="2:102" x14ac:dyDescent="0.25">
      <c r="B27" t="s">
        <v>394</v>
      </c>
      <c r="C27" s="2">
        <f>'Sources de financement'!F9</f>
        <v>110000</v>
      </c>
      <c r="D27" s="3">
        <f>C27</f>
        <v>110000</v>
      </c>
      <c r="E27" s="3">
        <f>D27</f>
        <v>110000</v>
      </c>
      <c r="F27" s="3">
        <f t="shared" ref="F27:BQ27" si="6">E27</f>
        <v>110000</v>
      </c>
      <c r="G27" s="3">
        <f t="shared" si="6"/>
        <v>110000</v>
      </c>
      <c r="H27" s="3">
        <f t="shared" si="6"/>
        <v>110000</v>
      </c>
      <c r="I27" s="3">
        <f t="shared" si="6"/>
        <v>110000</v>
      </c>
      <c r="J27" s="3">
        <f t="shared" si="6"/>
        <v>110000</v>
      </c>
      <c r="K27" s="3">
        <f t="shared" si="6"/>
        <v>110000</v>
      </c>
      <c r="L27" s="3">
        <f t="shared" si="6"/>
        <v>110000</v>
      </c>
      <c r="M27" s="3">
        <f t="shared" si="6"/>
        <v>110000</v>
      </c>
      <c r="N27" s="3">
        <f t="shared" si="6"/>
        <v>110000</v>
      </c>
      <c r="O27" s="3">
        <f t="shared" si="6"/>
        <v>110000</v>
      </c>
      <c r="P27" s="3">
        <f t="shared" si="6"/>
        <v>110000</v>
      </c>
      <c r="Q27" s="3">
        <f t="shared" si="6"/>
        <v>110000</v>
      </c>
      <c r="R27" s="3">
        <f t="shared" si="6"/>
        <v>110000</v>
      </c>
      <c r="S27" s="3">
        <f t="shared" si="6"/>
        <v>110000</v>
      </c>
      <c r="T27" s="3">
        <f t="shared" si="6"/>
        <v>110000</v>
      </c>
      <c r="U27" s="3">
        <f t="shared" si="6"/>
        <v>110000</v>
      </c>
      <c r="V27" s="3">
        <f t="shared" si="6"/>
        <v>110000</v>
      </c>
      <c r="W27" s="3">
        <f t="shared" si="6"/>
        <v>110000</v>
      </c>
      <c r="X27" s="3">
        <f t="shared" si="6"/>
        <v>110000</v>
      </c>
      <c r="Y27" s="3">
        <f t="shared" si="6"/>
        <v>110000</v>
      </c>
      <c r="Z27" s="3">
        <f t="shared" si="6"/>
        <v>110000</v>
      </c>
      <c r="AA27" s="3">
        <f t="shared" si="6"/>
        <v>110000</v>
      </c>
      <c r="AB27" s="3">
        <f t="shared" si="6"/>
        <v>110000</v>
      </c>
      <c r="AC27" s="3">
        <f t="shared" si="6"/>
        <v>110000</v>
      </c>
      <c r="AD27" s="3">
        <f t="shared" si="6"/>
        <v>110000</v>
      </c>
      <c r="AE27" s="3">
        <f t="shared" si="6"/>
        <v>110000</v>
      </c>
      <c r="AF27" s="3">
        <f t="shared" si="6"/>
        <v>110000</v>
      </c>
      <c r="AG27" s="3">
        <f t="shared" si="6"/>
        <v>110000</v>
      </c>
      <c r="AH27" s="3">
        <f t="shared" si="6"/>
        <v>110000</v>
      </c>
      <c r="AI27" s="3">
        <f t="shared" si="6"/>
        <v>110000</v>
      </c>
      <c r="AJ27" s="3">
        <f t="shared" si="6"/>
        <v>110000</v>
      </c>
      <c r="AK27" s="3">
        <f t="shared" si="6"/>
        <v>110000</v>
      </c>
      <c r="AL27" s="3">
        <f t="shared" si="6"/>
        <v>110000</v>
      </c>
      <c r="AM27" s="3">
        <f t="shared" si="6"/>
        <v>110000</v>
      </c>
      <c r="AN27" s="3">
        <f t="shared" si="6"/>
        <v>110000</v>
      </c>
      <c r="AO27" s="3">
        <f t="shared" si="6"/>
        <v>110000</v>
      </c>
      <c r="AP27" s="3">
        <f t="shared" si="6"/>
        <v>110000</v>
      </c>
      <c r="AQ27" s="3">
        <f t="shared" si="6"/>
        <v>110000</v>
      </c>
      <c r="AR27" s="3">
        <f t="shared" si="6"/>
        <v>110000</v>
      </c>
      <c r="AS27" s="3">
        <f t="shared" si="6"/>
        <v>110000</v>
      </c>
      <c r="AT27" s="3">
        <f t="shared" si="6"/>
        <v>110000</v>
      </c>
      <c r="AU27" s="3">
        <f t="shared" si="6"/>
        <v>110000</v>
      </c>
      <c r="AV27" s="3">
        <f t="shared" si="6"/>
        <v>110000</v>
      </c>
      <c r="AW27" s="3">
        <f t="shared" si="6"/>
        <v>110000</v>
      </c>
      <c r="AX27" s="3">
        <f t="shared" si="6"/>
        <v>110000</v>
      </c>
      <c r="AY27" s="3">
        <f t="shared" si="6"/>
        <v>110000</v>
      </c>
      <c r="AZ27" s="3">
        <f t="shared" si="6"/>
        <v>110000</v>
      </c>
      <c r="BA27" s="3">
        <f t="shared" si="6"/>
        <v>110000</v>
      </c>
      <c r="BB27" s="3">
        <f t="shared" si="6"/>
        <v>110000</v>
      </c>
      <c r="BC27" s="3">
        <f t="shared" si="6"/>
        <v>110000</v>
      </c>
      <c r="BD27" s="3">
        <f t="shared" si="6"/>
        <v>110000</v>
      </c>
      <c r="BE27" s="3">
        <f t="shared" si="6"/>
        <v>110000</v>
      </c>
      <c r="BF27" s="3">
        <f t="shared" si="6"/>
        <v>110000</v>
      </c>
      <c r="BG27" s="3">
        <f t="shared" si="6"/>
        <v>110000</v>
      </c>
      <c r="BH27" s="3">
        <f t="shared" si="6"/>
        <v>110000</v>
      </c>
      <c r="BI27" s="3">
        <f t="shared" si="6"/>
        <v>110000</v>
      </c>
      <c r="BJ27" s="3">
        <f t="shared" si="6"/>
        <v>110000</v>
      </c>
      <c r="BK27" s="3">
        <f t="shared" si="6"/>
        <v>110000</v>
      </c>
      <c r="BL27" s="3">
        <f t="shared" si="6"/>
        <v>110000</v>
      </c>
      <c r="BM27" s="3">
        <f t="shared" si="6"/>
        <v>110000</v>
      </c>
      <c r="BN27" s="3">
        <f t="shared" si="6"/>
        <v>110000</v>
      </c>
      <c r="BO27" s="3">
        <f t="shared" si="6"/>
        <v>110000</v>
      </c>
      <c r="BP27" s="3">
        <f t="shared" si="6"/>
        <v>110000</v>
      </c>
      <c r="BQ27" s="3">
        <f t="shared" si="6"/>
        <v>110000</v>
      </c>
      <c r="BR27" s="3">
        <f t="shared" ref="BR27:CX27" si="7">BQ27</f>
        <v>110000</v>
      </c>
      <c r="BS27" s="3">
        <f t="shared" si="7"/>
        <v>110000</v>
      </c>
      <c r="BT27" s="3">
        <f t="shared" si="7"/>
        <v>110000</v>
      </c>
      <c r="BU27" s="3">
        <f t="shared" si="7"/>
        <v>110000</v>
      </c>
      <c r="BV27" s="3">
        <f t="shared" si="7"/>
        <v>110000</v>
      </c>
      <c r="BW27" s="3">
        <f t="shared" si="7"/>
        <v>110000</v>
      </c>
      <c r="BX27" s="3">
        <f t="shared" si="7"/>
        <v>110000</v>
      </c>
      <c r="BY27" s="3">
        <f t="shared" si="7"/>
        <v>110000</v>
      </c>
      <c r="BZ27" s="3">
        <f t="shared" si="7"/>
        <v>110000</v>
      </c>
      <c r="CA27" s="3">
        <f t="shared" si="7"/>
        <v>110000</v>
      </c>
      <c r="CB27" s="3">
        <f t="shared" si="7"/>
        <v>110000</v>
      </c>
      <c r="CC27" s="3">
        <f t="shared" si="7"/>
        <v>110000</v>
      </c>
      <c r="CD27" s="3">
        <f t="shared" si="7"/>
        <v>110000</v>
      </c>
      <c r="CE27" s="3">
        <f t="shared" si="7"/>
        <v>110000</v>
      </c>
      <c r="CF27" s="3">
        <f t="shared" si="7"/>
        <v>110000</v>
      </c>
      <c r="CG27" s="3">
        <f t="shared" si="7"/>
        <v>110000</v>
      </c>
      <c r="CH27" s="3">
        <f t="shared" si="7"/>
        <v>110000</v>
      </c>
      <c r="CI27" s="3">
        <f t="shared" si="7"/>
        <v>110000</v>
      </c>
      <c r="CJ27" s="3">
        <f t="shared" si="7"/>
        <v>110000</v>
      </c>
      <c r="CK27" s="3">
        <f t="shared" si="7"/>
        <v>110000</v>
      </c>
      <c r="CL27" s="3">
        <f t="shared" si="7"/>
        <v>110000</v>
      </c>
      <c r="CM27" s="3">
        <f t="shared" si="7"/>
        <v>110000</v>
      </c>
      <c r="CN27" s="3">
        <f t="shared" si="7"/>
        <v>110000</v>
      </c>
      <c r="CO27" s="3">
        <f t="shared" si="7"/>
        <v>110000</v>
      </c>
      <c r="CP27" s="3">
        <f t="shared" si="7"/>
        <v>110000</v>
      </c>
      <c r="CQ27" s="3">
        <f t="shared" si="7"/>
        <v>110000</v>
      </c>
      <c r="CR27" s="3">
        <f t="shared" si="7"/>
        <v>110000</v>
      </c>
      <c r="CS27" s="3">
        <f t="shared" si="7"/>
        <v>110000</v>
      </c>
      <c r="CT27" s="3">
        <f t="shared" si="7"/>
        <v>110000</v>
      </c>
      <c r="CU27" s="3">
        <f t="shared" si="7"/>
        <v>110000</v>
      </c>
      <c r="CV27" s="3">
        <f t="shared" si="7"/>
        <v>110000</v>
      </c>
      <c r="CW27" s="3">
        <f t="shared" si="7"/>
        <v>110000</v>
      </c>
      <c r="CX27" s="3">
        <f t="shared" si="7"/>
        <v>110000</v>
      </c>
    </row>
    <row r="28" spans="2:102" x14ac:dyDescent="0.25">
      <c r="B28" t="s">
        <v>395</v>
      </c>
      <c r="C28" s="16">
        <f>-C5</f>
        <v>-42380.100000000006</v>
      </c>
      <c r="D28" s="27">
        <f>-D5</f>
        <v>0</v>
      </c>
      <c r="E28" s="27">
        <f>-E5</f>
        <v>-41738.400000000001</v>
      </c>
      <c r="F28" s="27">
        <f t="shared" ref="F28:BQ28" si="8">-F5</f>
        <v>0</v>
      </c>
      <c r="G28" s="27">
        <f t="shared" si="8"/>
        <v>-54474.75</v>
      </c>
      <c r="H28" s="27">
        <f t="shared" si="8"/>
        <v>0</v>
      </c>
      <c r="I28" s="27">
        <f t="shared" si="8"/>
        <v>0</v>
      </c>
      <c r="J28" s="27">
        <f t="shared" si="8"/>
        <v>0</v>
      </c>
      <c r="K28" s="27">
        <f t="shared" si="8"/>
        <v>0</v>
      </c>
      <c r="L28" s="27">
        <f t="shared" si="8"/>
        <v>-151920.15</v>
      </c>
      <c r="M28" s="27">
        <f t="shared" si="8"/>
        <v>0</v>
      </c>
      <c r="N28" s="27">
        <f t="shared" si="8"/>
        <v>-170785.2</v>
      </c>
      <c r="O28" s="27">
        <f t="shared" si="8"/>
        <v>-539362.80000000005</v>
      </c>
      <c r="P28" s="27">
        <f t="shared" si="8"/>
        <v>-118235.55</v>
      </c>
      <c r="Q28" s="27">
        <f t="shared" si="8"/>
        <v>-599682.6</v>
      </c>
      <c r="R28" s="27">
        <f t="shared" si="8"/>
        <v>-352302.6</v>
      </c>
      <c r="S28" s="27">
        <f t="shared" si="8"/>
        <v>-353460.44999999995</v>
      </c>
      <c r="T28" s="27">
        <f t="shared" si="8"/>
        <v>-287002.64999999997</v>
      </c>
      <c r="U28" s="27">
        <f t="shared" si="8"/>
        <v>-207748.05</v>
      </c>
      <c r="V28" s="27">
        <f t="shared" si="8"/>
        <v>-644959.65</v>
      </c>
      <c r="W28" s="27">
        <f t="shared" si="8"/>
        <v>-105438.75</v>
      </c>
      <c r="X28" s="27">
        <f t="shared" si="8"/>
        <v>-777577.64999999991</v>
      </c>
      <c r="Y28" s="27">
        <f t="shared" si="8"/>
        <v>-133436.4</v>
      </c>
      <c r="Z28" s="27">
        <f t="shared" si="8"/>
        <v>-150027.6</v>
      </c>
      <c r="AA28" s="27">
        <f t="shared" si="8"/>
        <v>-181917.3</v>
      </c>
      <c r="AB28" s="27">
        <f t="shared" si="8"/>
        <v>-199954.65000000002</v>
      </c>
      <c r="AC28" s="27">
        <f t="shared" si="8"/>
        <v>0</v>
      </c>
      <c r="AD28" s="27">
        <f t="shared" si="8"/>
        <v>0</v>
      </c>
      <c r="AE28" s="27">
        <f t="shared" si="8"/>
        <v>-660114</v>
      </c>
      <c r="AF28" s="27">
        <f t="shared" si="8"/>
        <v>-383820.29999999993</v>
      </c>
      <c r="AG28" s="27">
        <f t="shared" si="8"/>
        <v>-470533.5</v>
      </c>
      <c r="AH28" s="27">
        <f t="shared" si="8"/>
        <v>-359626.35000000003</v>
      </c>
      <c r="AI28" s="27">
        <f t="shared" si="8"/>
        <v>-482488.65</v>
      </c>
      <c r="AJ28" s="27">
        <f t="shared" si="8"/>
        <v>-157755.89999999997</v>
      </c>
      <c r="AK28" s="27">
        <f t="shared" si="8"/>
        <v>-594242.1</v>
      </c>
      <c r="AL28" s="27">
        <f t="shared" si="8"/>
        <v>-360640.05</v>
      </c>
      <c r="AM28" s="27">
        <f t="shared" si="8"/>
        <v>-99844.799999999988</v>
      </c>
      <c r="AN28" s="27">
        <f t="shared" si="8"/>
        <v>-366996.60000000003</v>
      </c>
      <c r="AO28" s="27">
        <f t="shared" si="8"/>
        <v>-735802.04999999981</v>
      </c>
      <c r="AP28" s="27">
        <f t="shared" si="8"/>
        <v>-433431.14999999997</v>
      </c>
      <c r="AQ28" s="27">
        <f t="shared" si="8"/>
        <v>-489812.40000000008</v>
      </c>
      <c r="AR28" s="27">
        <f t="shared" si="8"/>
        <v>-353372.1</v>
      </c>
      <c r="AS28" s="27">
        <f t="shared" si="8"/>
        <v>-391502.10000000003</v>
      </c>
      <c r="AT28" s="27">
        <f t="shared" si="8"/>
        <v>-371521.05</v>
      </c>
      <c r="AU28" s="27">
        <f t="shared" si="8"/>
        <v>-377296.35</v>
      </c>
      <c r="AV28" s="27">
        <f t="shared" si="8"/>
        <v>-107391.75</v>
      </c>
      <c r="AW28" s="27">
        <f t="shared" si="8"/>
        <v>-218605.8</v>
      </c>
      <c r="AX28" s="27">
        <f t="shared" si="8"/>
        <v>-547249.19999999995</v>
      </c>
      <c r="AY28" s="27">
        <f t="shared" si="8"/>
        <v>-375343.35</v>
      </c>
      <c r="AZ28" s="27">
        <f t="shared" si="8"/>
        <v>-115417.65</v>
      </c>
      <c r="BA28" s="27">
        <f t="shared" si="8"/>
        <v>-349154.55</v>
      </c>
      <c r="BB28" s="27">
        <f t="shared" si="8"/>
        <v>-36828</v>
      </c>
      <c r="BC28" s="27">
        <f t="shared" si="8"/>
        <v>-207915.45</v>
      </c>
      <c r="BD28" s="27">
        <f t="shared" si="8"/>
        <v>-203702.55</v>
      </c>
      <c r="BE28" s="27">
        <f t="shared" si="8"/>
        <v>-128005.2</v>
      </c>
      <c r="BF28" s="27">
        <f t="shared" si="8"/>
        <v>0</v>
      </c>
      <c r="BG28" s="27">
        <f t="shared" si="8"/>
        <v>-241595.4</v>
      </c>
      <c r="BH28" s="27">
        <f t="shared" si="8"/>
        <v>-213611.7</v>
      </c>
      <c r="BI28" s="27">
        <f t="shared" si="8"/>
        <v>0</v>
      </c>
      <c r="BJ28" s="27">
        <f t="shared" si="8"/>
        <v>-233397.44999999995</v>
      </c>
      <c r="BK28" s="27">
        <f t="shared" si="8"/>
        <v>-395045.39999999997</v>
      </c>
      <c r="BL28" s="27">
        <f t="shared" si="8"/>
        <v>-212616.59999999998</v>
      </c>
      <c r="BM28" s="27">
        <f t="shared" si="8"/>
        <v>-295470.30000000005</v>
      </c>
      <c r="BN28" s="27">
        <f t="shared" si="8"/>
        <v>0</v>
      </c>
      <c r="BO28" s="27">
        <f t="shared" si="8"/>
        <v>0</v>
      </c>
      <c r="BP28" s="27">
        <f t="shared" si="8"/>
        <v>0</v>
      </c>
      <c r="BQ28" s="27">
        <f t="shared" si="8"/>
        <v>0</v>
      </c>
      <c r="BR28" s="27">
        <f t="shared" ref="BR28:CX28" si="9">-BR5</f>
        <v>0</v>
      </c>
      <c r="BS28" s="27">
        <f t="shared" si="9"/>
        <v>0</v>
      </c>
      <c r="BT28" s="27">
        <f t="shared" si="9"/>
        <v>0</v>
      </c>
      <c r="BU28" s="27">
        <f t="shared" si="9"/>
        <v>-42380.100000000006</v>
      </c>
      <c r="BV28" s="27">
        <f t="shared" si="9"/>
        <v>0</v>
      </c>
      <c r="BW28" s="27">
        <f t="shared" si="9"/>
        <v>-41738.400000000001</v>
      </c>
      <c r="BX28" s="27">
        <f t="shared" si="9"/>
        <v>0</v>
      </c>
      <c r="BY28" s="27">
        <f t="shared" si="9"/>
        <v>-54474.75</v>
      </c>
      <c r="BZ28" s="27">
        <f t="shared" si="9"/>
        <v>0</v>
      </c>
      <c r="CA28" s="27">
        <f t="shared" si="9"/>
        <v>0</v>
      </c>
      <c r="CB28" s="27">
        <f t="shared" si="9"/>
        <v>0</v>
      </c>
      <c r="CC28" s="27">
        <f t="shared" si="9"/>
        <v>0</v>
      </c>
      <c r="CD28" s="27">
        <f t="shared" si="9"/>
        <v>0</v>
      </c>
      <c r="CE28" s="27">
        <f t="shared" si="9"/>
        <v>0</v>
      </c>
      <c r="CF28" s="27">
        <f t="shared" si="9"/>
        <v>-170785.2</v>
      </c>
      <c r="CG28" s="27">
        <f t="shared" si="9"/>
        <v>0</v>
      </c>
      <c r="CH28" s="27">
        <f t="shared" si="9"/>
        <v>0</v>
      </c>
      <c r="CI28" s="27">
        <f t="shared" si="9"/>
        <v>0</v>
      </c>
      <c r="CJ28" s="27">
        <f t="shared" si="9"/>
        <v>0</v>
      </c>
      <c r="CK28" s="27">
        <f t="shared" si="9"/>
        <v>0</v>
      </c>
      <c r="CL28" s="27">
        <f t="shared" si="9"/>
        <v>0</v>
      </c>
      <c r="CM28" s="27">
        <f t="shared" si="9"/>
        <v>-61263.75</v>
      </c>
      <c r="CN28" s="27">
        <f t="shared" si="9"/>
        <v>-151920.15</v>
      </c>
      <c r="CO28" s="27">
        <f t="shared" si="9"/>
        <v>0</v>
      </c>
      <c r="CP28" s="27">
        <f t="shared" si="9"/>
        <v>0</v>
      </c>
      <c r="CQ28" s="27">
        <f t="shared" si="9"/>
        <v>-539362.80000000005</v>
      </c>
      <c r="CR28" s="27">
        <f t="shared" si="9"/>
        <v>-218675.55</v>
      </c>
      <c r="CS28" s="27">
        <f t="shared" si="9"/>
        <v>-599682.6</v>
      </c>
      <c r="CT28" s="27">
        <f t="shared" si="9"/>
        <v>-434705.25</v>
      </c>
      <c r="CU28" s="27">
        <f t="shared" si="9"/>
        <v>-353460.44999999995</v>
      </c>
      <c r="CV28" s="27">
        <f t="shared" si="9"/>
        <v>-287002.64999999997</v>
      </c>
      <c r="CW28" s="27">
        <f t="shared" si="9"/>
        <v>-246956.84999999998</v>
      </c>
      <c r="CX28" s="27">
        <f t="shared" si="9"/>
        <v>-502925.4</v>
      </c>
    </row>
    <row r="30" spans="2:102" x14ac:dyDescent="0.25">
      <c r="B30" t="s">
        <v>396</v>
      </c>
      <c r="C30" s="2">
        <f>SUM(C26:C29)</f>
        <v>567619.9</v>
      </c>
      <c r="D30" s="2">
        <f>SUM(D26:D29)</f>
        <v>677619.9</v>
      </c>
      <c r="E30" s="2">
        <f>SUM(E26:E29)</f>
        <v>745881.5</v>
      </c>
      <c r="F30" s="2">
        <f t="shared" ref="F30:BQ30" si="10">SUM(F26:F29)</f>
        <v>855881.5</v>
      </c>
      <c r="G30" s="2">
        <f t="shared" si="10"/>
        <v>911406.75</v>
      </c>
      <c r="H30" s="2">
        <f t="shared" si="10"/>
        <v>1021406.75</v>
      </c>
      <c r="I30" s="2">
        <f t="shared" si="10"/>
        <v>1131406.75</v>
      </c>
      <c r="J30" s="2">
        <f t="shared" si="10"/>
        <v>1241406.75</v>
      </c>
      <c r="K30" s="2">
        <f t="shared" si="10"/>
        <v>1351406.75</v>
      </c>
      <c r="L30" s="2">
        <f t="shared" si="10"/>
        <v>1309486.6000000001</v>
      </c>
      <c r="M30" s="2">
        <f t="shared" si="10"/>
        <v>1419486.6</v>
      </c>
      <c r="N30" s="2">
        <f t="shared" si="10"/>
        <v>1358701.4000000001</v>
      </c>
      <c r="O30" s="2">
        <f t="shared" si="10"/>
        <v>929338.60000000009</v>
      </c>
      <c r="P30" s="2">
        <f t="shared" si="10"/>
        <v>921103.05</v>
      </c>
      <c r="Q30" s="2">
        <f t="shared" si="10"/>
        <v>431420.45000000007</v>
      </c>
      <c r="R30" s="2">
        <f t="shared" si="10"/>
        <v>189117.85000000009</v>
      </c>
      <c r="S30" s="2">
        <f t="shared" si="10"/>
        <v>-54342.59999999986</v>
      </c>
      <c r="T30" s="2">
        <f t="shared" si="10"/>
        <v>-231345.24999999983</v>
      </c>
      <c r="U30" s="2">
        <f t="shared" si="10"/>
        <v>-329093.29999999981</v>
      </c>
      <c r="V30" s="2">
        <f t="shared" si="10"/>
        <v>-864052.94999999984</v>
      </c>
      <c r="W30" s="2">
        <f t="shared" si="10"/>
        <v>-859491.69999999984</v>
      </c>
      <c r="X30" s="2">
        <f t="shared" si="10"/>
        <v>-1527069.3499999996</v>
      </c>
      <c r="Y30" s="2">
        <f t="shared" si="10"/>
        <v>-1550505.7499999995</v>
      </c>
      <c r="Z30" s="2">
        <f t="shared" si="10"/>
        <v>-1590533.3499999996</v>
      </c>
      <c r="AA30" s="2">
        <f t="shared" si="10"/>
        <v>-1662450.6499999997</v>
      </c>
      <c r="AB30" s="2">
        <f t="shared" si="10"/>
        <v>-1752405.2999999998</v>
      </c>
      <c r="AC30" s="2">
        <f t="shared" si="10"/>
        <v>-1642405.2999999998</v>
      </c>
      <c r="AD30" s="2">
        <f t="shared" si="10"/>
        <v>-1532405.2999999998</v>
      </c>
      <c r="AE30" s="2">
        <f t="shared" si="10"/>
        <v>-2082519.2999999998</v>
      </c>
      <c r="AF30" s="2">
        <f t="shared" si="10"/>
        <v>-2356339.5999999996</v>
      </c>
      <c r="AG30" s="2">
        <f t="shared" si="10"/>
        <v>-2716873.0999999996</v>
      </c>
      <c r="AH30" s="2">
        <f t="shared" si="10"/>
        <v>-2966499.4499999997</v>
      </c>
      <c r="AI30" s="2">
        <f t="shared" si="10"/>
        <v>-3338988.0999999996</v>
      </c>
      <c r="AJ30" s="2">
        <f t="shared" si="10"/>
        <v>-3386743.9999999995</v>
      </c>
      <c r="AK30" s="2">
        <f t="shared" si="10"/>
        <v>-3870986.0999999996</v>
      </c>
      <c r="AL30" s="2">
        <f t="shared" si="10"/>
        <v>-4121626.1499999994</v>
      </c>
      <c r="AM30" s="2">
        <f t="shared" si="10"/>
        <v>-4111470.9499999993</v>
      </c>
      <c r="AN30" s="2">
        <f t="shared" si="10"/>
        <v>-4368467.5499999989</v>
      </c>
      <c r="AO30" s="2">
        <f t="shared" si="10"/>
        <v>-4994269.5999999987</v>
      </c>
      <c r="AP30" s="2">
        <f t="shared" si="10"/>
        <v>-5317700.7499999991</v>
      </c>
      <c r="AQ30" s="2">
        <f t="shared" si="10"/>
        <v>-5697513.1499999994</v>
      </c>
      <c r="AR30" s="2">
        <f t="shared" si="10"/>
        <v>-5940885.2499999991</v>
      </c>
      <c r="AS30" s="2">
        <f t="shared" si="10"/>
        <v>-6222387.3499999987</v>
      </c>
      <c r="AT30" s="2">
        <f t="shared" si="10"/>
        <v>-6483908.3999999985</v>
      </c>
      <c r="AU30" s="2">
        <f t="shared" si="10"/>
        <v>-6751204.7499999981</v>
      </c>
      <c r="AV30" s="2">
        <f t="shared" si="10"/>
        <v>-6748596.4999999981</v>
      </c>
      <c r="AW30" s="2">
        <f t="shared" si="10"/>
        <v>-6857202.299999998</v>
      </c>
      <c r="AX30" s="2">
        <f t="shared" si="10"/>
        <v>-7294451.4999999981</v>
      </c>
      <c r="AY30" s="2">
        <f t="shared" si="10"/>
        <v>-7559794.8499999978</v>
      </c>
      <c r="AZ30" s="2">
        <f t="shared" si="10"/>
        <v>-7565212.4999999981</v>
      </c>
      <c r="BA30" s="2">
        <f t="shared" si="10"/>
        <v>-7804367.049999998</v>
      </c>
      <c r="BB30" s="2">
        <f t="shared" si="10"/>
        <v>-7731195.049999998</v>
      </c>
      <c r="BC30" s="2">
        <f t="shared" si="10"/>
        <v>-7829110.4999999981</v>
      </c>
      <c r="BD30" s="2">
        <f t="shared" si="10"/>
        <v>-7922813.049999998</v>
      </c>
      <c r="BE30" s="2">
        <f t="shared" si="10"/>
        <v>-7940818.2499999981</v>
      </c>
      <c r="BF30" s="2">
        <f t="shared" si="10"/>
        <v>-7830818.2499999981</v>
      </c>
      <c r="BG30" s="2">
        <f t="shared" si="10"/>
        <v>-7962413.6499999985</v>
      </c>
      <c r="BH30" s="2">
        <f t="shared" si="10"/>
        <v>-8066025.3499999987</v>
      </c>
      <c r="BI30" s="2">
        <f t="shared" si="10"/>
        <v>-7956025.3499999987</v>
      </c>
      <c r="BJ30" s="2">
        <f t="shared" si="10"/>
        <v>-8079422.7999999989</v>
      </c>
      <c r="BK30" s="2">
        <f t="shared" si="10"/>
        <v>-8364468.1999999993</v>
      </c>
      <c r="BL30" s="2">
        <f t="shared" si="10"/>
        <v>-8467084.7999999989</v>
      </c>
      <c r="BM30" s="2">
        <f t="shared" si="10"/>
        <v>-8652555.0999999996</v>
      </c>
      <c r="BN30" s="2">
        <f t="shared" si="10"/>
        <v>-8542555.0999999996</v>
      </c>
      <c r="BO30" s="2">
        <f t="shared" si="10"/>
        <v>-8432555.0999999996</v>
      </c>
      <c r="BP30" s="2">
        <f t="shared" si="10"/>
        <v>-8322555.0999999996</v>
      </c>
      <c r="BQ30" s="2">
        <f t="shared" si="10"/>
        <v>-8212555.0999999996</v>
      </c>
      <c r="BR30" s="2">
        <f t="shared" ref="BR30:CX30" si="11">SUM(BR26:BR29)</f>
        <v>-8102555.0999999996</v>
      </c>
      <c r="BS30" s="2">
        <f t="shared" si="11"/>
        <v>-7992555.0999999996</v>
      </c>
      <c r="BT30" s="2">
        <f t="shared" si="11"/>
        <v>-7882555.0999999996</v>
      </c>
      <c r="BU30" s="2">
        <f t="shared" si="11"/>
        <v>-7814935.1999999993</v>
      </c>
      <c r="BV30" s="2">
        <f t="shared" si="11"/>
        <v>-7704935.1999999993</v>
      </c>
      <c r="BW30" s="2">
        <f t="shared" si="11"/>
        <v>-7636673.5999999996</v>
      </c>
      <c r="BX30" s="2">
        <f t="shared" si="11"/>
        <v>-7526673.5999999996</v>
      </c>
      <c r="BY30" s="2">
        <f t="shared" si="11"/>
        <v>-7471148.3499999996</v>
      </c>
      <c r="BZ30" s="2">
        <f t="shared" si="11"/>
        <v>-7361148.3499999996</v>
      </c>
      <c r="CA30" s="2">
        <f t="shared" si="11"/>
        <v>-7251148.3499999996</v>
      </c>
      <c r="CB30" s="2">
        <f t="shared" si="11"/>
        <v>-7141148.3499999996</v>
      </c>
      <c r="CC30" s="2">
        <f t="shared" si="11"/>
        <v>-7031148.3499999996</v>
      </c>
      <c r="CD30" s="2">
        <f t="shared" si="11"/>
        <v>-6921148.3499999996</v>
      </c>
      <c r="CE30" s="2">
        <f t="shared" si="11"/>
        <v>-6811148.3499999996</v>
      </c>
      <c r="CF30" s="2">
        <f t="shared" si="11"/>
        <v>-6871933.5499999998</v>
      </c>
      <c r="CG30" s="2">
        <f t="shared" si="11"/>
        <v>-6761933.5499999998</v>
      </c>
      <c r="CH30" s="2">
        <f t="shared" si="11"/>
        <v>-6651933.5499999998</v>
      </c>
      <c r="CI30" s="2">
        <f t="shared" si="11"/>
        <v>-6541933.5499999998</v>
      </c>
      <c r="CJ30" s="2">
        <f t="shared" si="11"/>
        <v>-6431933.5499999998</v>
      </c>
      <c r="CK30" s="2">
        <f t="shared" si="11"/>
        <v>-6321933.5499999998</v>
      </c>
      <c r="CL30" s="2">
        <f t="shared" si="11"/>
        <v>-6211933.5499999998</v>
      </c>
      <c r="CM30" s="2">
        <f t="shared" si="11"/>
        <v>-6163197.2999999998</v>
      </c>
      <c r="CN30" s="2">
        <f t="shared" si="11"/>
        <v>-6205117.4500000002</v>
      </c>
      <c r="CO30" s="2">
        <f t="shared" si="11"/>
        <v>-6095117.4500000002</v>
      </c>
      <c r="CP30" s="2">
        <f t="shared" si="11"/>
        <v>-5985117.4500000002</v>
      </c>
      <c r="CQ30" s="2">
        <f t="shared" si="11"/>
        <v>-6414480.25</v>
      </c>
      <c r="CR30" s="2">
        <f t="shared" si="11"/>
        <v>-6523155.7999999998</v>
      </c>
      <c r="CS30" s="2">
        <f t="shared" si="11"/>
        <v>-7012838.3999999994</v>
      </c>
      <c r="CT30" s="2">
        <f t="shared" si="11"/>
        <v>-7337543.6499999994</v>
      </c>
      <c r="CU30" s="2">
        <f t="shared" si="11"/>
        <v>-7581004.0999999996</v>
      </c>
      <c r="CV30" s="2">
        <f t="shared" si="11"/>
        <v>-7758006.75</v>
      </c>
      <c r="CW30" s="2">
        <f t="shared" si="11"/>
        <v>-7894963.5999999996</v>
      </c>
      <c r="CX30" s="2">
        <f t="shared" si="11"/>
        <v>-8287889</v>
      </c>
    </row>
    <row r="32" spans="2:102" x14ac:dyDescent="0.25">
      <c r="B32" t="s">
        <v>1236</v>
      </c>
      <c r="C32">
        <v>2024</v>
      </c>
      <c r="D32">
        <v>2025</v>
      </c>
      <c r="E32">
        <v>2026</v>
      </c>
      <c r="F32">
        <v>2027</v>
      </c>
      <c r="G32">
        <v>2028</v>
      </c>
      <c r="H32">
        <v>2029</v>
      </c>
      <c r="I32">
        <v>2030</v>
      </c>
      <c r="J32">
        <v>2031</v>
      </c>
      <c r="K32">
        <v>2032</v>
      </c>
      <c r="L32">
        <v>2033</v>
      </c>
      <c r="M32">
        <v>2034</v>
      </c>
      <c r="N32">
        <v>2035</v>
      </c>
      <c r="O32">
        <v>2036</v>
      </c>
      <c r="P32">
        <v>2037</v>
      </c>
      <c r="Q32">
        <v>2038</v>
      </c>
      <c r="R32">
        <v>2039</v>
      </c>
      <c r="S32">
        <v>2040</v>
      </c>
      <c r="T32">
        <v>2041</v>
      </c>
      <c r="U32">
        <v>2042</v>
      </c>
      <c r="V32">
        <v>2043</v>
      </c>
      <c r="W32">
        <v>2044</v>
      </c>
      <c r="X32">
        <v>2045</v>
      </c>
      <c r="Y32">
        <v>2046</v>
      </c>
      <c r="Z32">
        <v>2047</v>
      </c>
      <c r="AA32">
        <v>2048</v>
      </c>
      <c r="AB32">
        <v>2049</v>
      </c>
      <c r="AC32">
        <v>2050</v>
      </c>
      <c r="AD32">
        <v>2051</v>
      </c>
      <c r="AE32">
        <v>2052</v>
      </c>
      <c r="AF32">
        <v>2053</v>
      </c>
      <c r="AG32">
        <v>2054</v>
      </c>
      <c r="AH32">
        <v>2055</v>
      </c>
      <c r="AI32">
        <v>2056</v>
      </c>
      <c r="AJ32">
        <v>2057</v>
      </c>
      <c r="AK32">
        <v>2058</v>
      </c>
      <c r="AL32">
        <v>2059</v>
      </c>
      <c r="AM32">
        <v>2060</v>
      </c>
      <c r="AN32">
        <v>2061</v>
      </c>
      <c r="AO32">
        <v>2062</v>
      </c>
      <c r="AP32">
        <v>2063</v>
      </c>
      <c r="AQ32">
        <v>2064</v>
      </c>
      <c r="AR32">
        <v>2065</v>
      </c>
      <c r="AS32">
        <v>2066</v>
      </c>
      <c r="AT32">
        <v>2067</v>
      </c>
      <c r="AU32">
        <v>2068</v>
      </c>
      <c r="AV32">
        <v>2069</v>
      </c>
      <c r="AW32">
        <v>2070</v>
      </c>
      <c r="AX32">
        <v>2071</v>
      </c>
      <c r="AY32">
        <v>2072</v>
      </c>
      <c r="AZ32">
        <v>2073</v>
      </c>
      <c r="BA32">
        <v>2074</v>
      </c>
      <c r="BB32">
        <v>2075</v>
      </c>
      <c r="BC32">
        <v>2076</v>
      </c>
      <c r="BD32">
        <v>2077</v>
      </c>
      <c r="BE32">
        <v>2078</v>
      </c>
      <c r="BF32">
        <v>2079</v>
      </c>
      <c r="BG32">
        <v>2080</v>
      </c>
      <c r="BH32">
        <v>2081</v>
      </c>
      <c r="BI32">
        <v>2082</v>
      </c>
      <c r="BJ32">
        <v>2083</v>
      </c>
      <c r="BK32">
        <v>2084</v>
      </c>
      <c r="BL32">
        <v>2085</v>
      </c>
      <c r="BM32">
        <v>2086</v>
      </c>
      <c r="BN32">
        <v>2087</v>
      </c>
      <c r="BO32">
        <v>2088</v>
      </c>
      <c r="BP32">
        <v>2089</v>
      </c>
      <c r="BQ32">
        <v>2090</v>
      </c>
      <c r="BR32">
        <v>2091</v>
      </c>
      <c r="BS32">
        <v>2092</v>
      </c>
      <c r="BT32">
        <v>2093</v>
      </c>
      <c r="BU32">
        <v>2094</v>
      </c>
      <c r="BV32">
        <v>2095</v>
      </c>
      <c r="BW32">
        <v>2096</v>
      </c>
      <c r="BX32">
        <v>2097</v>
      </c>
      <c r="BY32">
        <v>2098</v>
      </c>
      <c r="BZ32">
        <v>2099</v>
      </c>
      <c r="CA32">
        <v>2100</v>
      </c>
      <c r="CB32">
        <v>2101</v>
      </c>
      <c r="CC32">
        <v>2102</v>
      </c>
      <c r="CD32">
        <v>2103</v>
      </c>
      <c r="CE32">
        <v>2104</v>
      </c>
      <c r="CF32">
        <v>2105</v>
      </c>
      <c r="CG32">
        <v>2106</v>
      </c>
      <c r="CH32">
        <v>2107</v>
      </c>
      <c r="CI32">
        <v>2108</v>
      </c>
      <c r="CJ32">
        <v>2109</v>
      </c>
      <c r="CK32">
        <v>2110</v>
      </c>
      <c r="CL32">
        <v>2111</v>
      </c>
      <c r="CM32">
        <v>2112</v>
      </c>
      <c r="CN32">
        <v>2113</v>
      </c>
      <c r="CO32">
        <v>2114</v>
      </c>
      <c r="CP32">
        <v>2115</v>
      </c>
      <c r="CQ32">
        <v>2116</v>
      </c>
      <c r="CR32">
        <v>2117</v>
      </c>
      <c r="CS32">
        <v>2118</v>
      </c>
      <c r="CT32">
        <v>2119</v>
      </c>
      <c r="CU32">
        <v>2120</v>
      </c>
      <c r="CV32">
        <v>2121</v>
      </c>
      <c r="CW32">
        <v>2122</v>
      </c>
      <c r="CX32">
        <v>2123</v>
      </c>
    </row>
    <row r="33" spans="2:102" x14ac:dyDescent="0.25">
      <c r="B33" t="s">
        <v>1237</v>
      </c>
      <c r="C33" s="2">
        <v>500000</v>
      </c>
      <c r="D33" s="3">
        <f>C37</f>
        <v>659983.25830357149</v>
      </c>
      <c r="E33" s="3">
        <f>D37</f>
        <v>862346.61660714296</v>
      </c>
      <c r="F33" s="3">
        <f t="shared" ref="F33:BQ33" si="12">E37</f>
        <v>1022971.5749107144</v>
      </c>
      <c r="G33" s="3">
        <f t="shared" si="12"/>
        <v>1225334.9332142859</v>
      </c>
      <c r="H33" s="3">
        <f t="shared" si="12"/>
        <v>1373223.5415178572</v>
      </c>
      <c r="I33" s="3">
        <f t="shared" si="12"/>
        <v>1575586.8998214286</v>
      </c>
      <c r="J33" s="3">
        <f t="shared" si="12"/>
        <v>1777950.2581249999</v>
      </c>
      <c r="K33" s="3">
        <f t="shared" si="12"/>
        <v>1980313.6164285713</v>
      </c>
      <c r="L33" s="3">
        <f t="shared" si="12"/>
        <v>2182676.9747321429</v>
      </c>
      <c r="M33" s="3">
        <f t="shared" si="12"/>
        <v>2233120.1830357146</v>
      </c>
      <c r="N33" s="3">
        <f t="shared" si="12"/>
        <v>2435483.5413392861</v>
      </c>
      <c r="O33" s="3">
        <f t="shared" si="12"/>
        <v>2467061.6996428575</v>
      </c>
      <c r="P33" s="3">
        <f t="shared" si="12"/>
        <v>2130062.2579464288</v>
      </c>
      <c r="Q33" s="3">
        <f t="shared" si="12"/>
        <v>2214190.0662500006</v>
      </c>
      <c r="R33" s="3">
        <f t="shared" si="12"/>
        <v>1816870.8245535721</v>
      </c>
      <c r="S33" s="3">
        <f t="shared" si="12"/>
        <v>1666931.5828571436</v>
      </c>
      <c r="T33" s="3">
        <f t="shared" si="12"/>
        <v>1515834.491160715</v>
      </c>
      <c r="U33" s="3">
        <f t="shared" si="12"/>
        <v>1431195.1994642864</v>
      </c>
      <c r="V33" s="3">
        <f t="shared" si="12"/>
        <v>1425810.5077678578</v>
      </c>
      <c r="W33" s="3">
        <f t="shared" si="12"/>
        <v>983214.21607142908</v>
      </c>
      <c r="X33" s="3">
        <f t="shared" si="12"/>
        <v>1080138.8243750005</v>
      </c>
      <c r="Y33" s="3">
        <f t="shared" si="12"/>
        <v>504924.532678572</v>
      </c>
      <c r="Z33" s="3">
        <f t="shared" si="12"/>
        <v>573851.49098214344</v>
      </c>
      <c r="AA33" s="3">
        <f t="shared" si="12"/>
        <v>626187.24928571493</v>
      </c>
      <c r="AB33" s="3">
        <f t="shared" si="12"/>
        <v>646633.30758928647</v>
      </c>
      <c r="AC33" s="3">
        <f t="shared" si="12"/>
        <v>649042.01589285792</v>
      </c>
      <c r="AD33" s="3">
        <f t="shared" si="12"/>
        <v>851405.37419642939</v>
      </c>
      <c r="AE33" s="3">
        <f t="shared" si="12"/>
        <v>1053768.7325000009</v>
      </c>
      <c r="AF33" s="3">
        <f t="shared" si="12"/>
        <v>596018.09080357221</v>
      </c>
      <c r="AG33" s="3">
        <f t="shared" si="12"/>
        <v>414561.14910714375</v>
      </c>
      <c r="AH33" s="3">
        <f t="shared" si="12"/>
        <v>146391.00741071522</v>
      </c>
      <c r="AI33" s="3">
        <f t="shared" si="12"/>
        <v>-10871.984285713348</v>
      </c>
      <c r="AJ33" s="3">
        <f t="shared" si="12"/>
        <v>-290997.27598214196</v>
      </c>
      <c r="AK33" s="3">
        <f t="shared" si="12"/>
        <v>-246389.81767857049</v>
      </c>
      <c r="AL33" s="3">
        <f t="shared" si="12"/>
        <v>-638268.55937499902</v>
      </c>
      <c r="AM33" s="3">
        <f t="shared" si="12"/>
        <v>-796545.25107142748</v>
      </c>
      <c r="AN33" s="3">
        <f t="shared" si="12"/>
        <v>-694026.69276785594</v>
      </c>
      <c r="AO33" s="3">
        <f t="shared" si="12"/>
        <v>-858659.93446428445</v>
      </c>
      <c r="AP33" s="3">
        <f t="shared" si="12"/>
        <v>-1392098.6261607129</v>
      </c>
      <c r="AQ33" s="3">
        <f t="shared" si="12"/>
        <v>-1623166.4178571415</v>
      </c>
      <c r="AR33" s="3">
        <f t="shared" si="12"/>
        <v>-1910615.4595535703</v>
      </c>
      <c r="AS33" s="3">
        <f t="shared" si="12"/>
        <v>-2061624.201249999</v>
      </c>
      <c r="AT33" s="3">
        <f t="shared" si="12"/>
        <v>-2250762.9429464275</v>
      </c>
      <c r="AU33" s="3">
        <f t="shared" si="12"/>
        <v>-2419920.6346428562</v>
      </c>
      <c r="AV33" s="3">
        <f t="shared" si="12"/>
        <v>-2594853.6263392847</v>
      </c>
      <c r="AW33" s="3">
        <f t="shared" si="12"/>
        <v>-2499882.0180357131</v>
      </c>
      <c r="AX33" s="3">
        <f t="shared" si="12"/>
        <v>-2516124.4597321413</v>
      </c>
      <c r="AY33" s="3">
        <f t="shared" si="12"/>
        <v>-2861010.3014285695</v>
      </c>
      <c r="AZ33" s="3">
        <f t="shared" si="12"/>
        <v>-3033990.293124998</v>
      </c>
      <c r="BA33" s="3">
        <f t="shared" si="12"/>
        <v>-2947044.5848214263</v>
      </c>
      <c r="BB33" s="3">
        <f t="shared" si="12"/>
        <v>-3093835.7765178545</v>
      </c>
      <c r="BC33" s="3">
        <f t="shared" si="12"/>
        <v>-2928300.418214283</v>
      </c>
      <c r="BD33" s="3">
        <f t="shared" si="12"/>
        <v>-2933852.5099107116</v>
      </c>
      <c r="BE33" s="3">
        <f t="shared" si="12"/>
        <v>-2935191.7016071398</v>
      </c>
      <c r="BF33" s="3">
        <f t="shared" si="12"/>
        <v>-2860833.5433035684</v>
      </c>
      <c r="BG33" s="3">
        <f t="shared" si="12"/>
        <v>-2658470.1849999968</v>
      </c>
      <c r="BH33" s="3">
        <f t="shared" si="12"/>
        <v>-2697702.2266964251</v>
      </c>
      <c r="BI33" s="3">
        <f t="shared" si="12"/>
        <v>-2708950.5683928537</v>
      </c>
      <c r="BJ33" s="3">
        <f t="shared" si="12"/>
        <v>-2506587.2100892821</v>
      </c>
      <c r="BK33" s="3">
        <f t="shared" si="12"/>
        <v>-2537621.3017857103</v>
      </c>
      <c r="BL33" s="3">
        <f t="shared" si="12"/>
        <v>-2730303.3434821386</v>
      </c>
      <c r="BM33" s="3">
        <f t="shared" si="12"/>
        <v>-2740556.5851785671</v>
      </c>
      <c r="BN33" s="3">
        <f t="shared" si="12"/>
        <v>-2833663.5268749958</v>
      </c>
      <c r="BO33" s="3">
        <f t="shared" si="12"/>
        <v>-2631300.1685714242</v>
      </c>
      <c r="BP33" s="3">
        <f t="shared" si="12"/>
        <v>-2428936.8102678526</v>
      </c>
      <c r="BQ33" s="3">
        <f t="shared" si="12"/>
        <v>-2226573.451964281</v>
      </c>
      <c r="BR33" s="3">
        <f t="shared" ref="BR33:CX33" si="13">BQ37</f>
        <v>-2024210.0936607097</v>
      </c>
      <c r="BS33" s="3">
        <f t="shared" si="13"/>
        <v>-1821846.7353571383</v>
      </c>
      <c r="BT33" s="3">
        <f t="shared" si="13"/>
        <v>-1619483.377053567</v>
      </c>
      <c r="BU33" s="3">
        <f t="shared" si="13"/>
        <v>-1417120.0187499956</v>
      </c>
      <c r="BV33" s="3">
        <f t="shared" si="13"/>
        <v>-1257136.7604464244</v>
      </c>
      <c r="BW33" s="3">
        <f t="shared" si="13"/>
        <v>-1054773.402142853</v>
      </c>
      <c r="BX33" s="3">
        <f t="shared" si="13"/>
        <v>-894148.44383928156</v>
      </c>
      <c r="BY33" s="3">
        <f t="shared" si="13"/>
        <v>-691785.0855357101</v>
      </c>
      <c r="BZ33" s="3">
        <f t="shared" si="13"/>
        <v>-543896.47723213863</v>
      </c>
      <c r="CA33" s="3">
        <f t="shared" si="13"/>
        <v>-341533.11892856716</v>
      </c>
      <c r="CB33" s="3">
        <f t="shared" si="13"/>
        <v>-139169.76062499572</v>
      </c>
      <c r="CC33" s="3">
        <f t="shared" si="13"/>
        <v>63193.597678575723</v>
      </c>
      <c r="CD33" s="3">
        <f t="shared" si="13"/>
        <v>265556.95598214713</v>
      </c>
      <c r="CE33" s="3">
        <f t="shared" si="13"/>
        <v>467920.3142857186</v>
      </c>
      <c r="CF33" s="3">
        <f t="shared" si="13"/>
        <v>670283.67258929007</v>
      </c>
      <c r="CG33" s="3">
        <f t="shared" si="13"/>
        <v>701861.83089286159</v>
      </c>
      <c r="CH33" s="3">
        <f t="shared" si="13"/>
        <v>904225.18919643306</v>
      </c>
      <c r="CI33" s="3">
        <f t="shared" si="13"/>
        <v>1106588.5475000045</v>
      </c>
      <c r="CJ33" s="3">
        <f t="shared" si="13"/>
        <v>1308951.9058035759</v>
      </c>
      <c r="CK33" s="3">
        <f t="shared" si="13"/>
        <v>1511315.2641071472</v>
      </c>
      <c r="CL33" s="3">
        <f t="shared" si="13"/>
        <v>1713678.6224107186</v>
      </c>
      <c r="CM33" s="3">
        <f t="shared" si="13"/>
        <v>1916041.9807142899</v>
      </c>
      <c r="CN33" s="3">
        <f t="shared" si="13"/>
        <v>2057141.5890178615</v>
      </c>
      <c r="CO33" s="3">
        <f t="shared" si="13"/>
        <v>2107584.7973214332</v>
      </c>
      <c r="CP33" s="3">
        <f t="shared" si="13"/>
        <v>2309948.1556250048</v>
      </c>
      <c r="CQ33" s="3">
        <f t="shared" si="13"/>
        <v>2512311.5139285764</v>
      </c>
      <c r="CR33" s="3">
        <f t="shared" si="13"/>
        <v>2175312.0722321477</v>
      </c>
      <c r="CS33" s="3">
        <f t="shared" si="13"/>
        <v>2158999.8805357195</v>
      </c>
      <c r="CT33" s="3">
        <f t="shared" si="13"/>
        <v>1761680.6388392909</v>
      </c>
      <c r="CU33" s="3">
        <f t="shared" si="13"/>
        <v>1529338.7471428623</v>
      </c>
      <c r="CV33" s="3">
        <f t="shared" si="13"/>
        <v>1378241.6554464337</v>
      </c>
      <c r="CW33" s="3">
        <f t="shared" si="13"/>
        <v>1293602.3637500051</v>
      </c>
      <c r="CX33" s="3">
        <f t="shared" si="13"/>
        <v>1249008.8720535766</v>
      </c>
    </row>
    <row r="34" spans="2:102" x14ac:dyDescent="0.25">
      <c r="B34" t="s">
        <v>1238</v>
      </c>
      <c r="C34" s="2">
        <f>'Sources de financement'!F11</f>
        <v>202363.35830357144</v>
      </c>
      <c r="D34" s="3">
        <f>C34</f>
        <v>202363.35830357144</v>
      </c>
      <c r="E34" s="3">
        <f>D34</f>
        <v>202363.35830357144</v>
      </c>
      <c r="F34" s="3">
        <f t="shared" ref="F34:BQ34" si="14">E34</f>
        <v>202363.35830357144</v>
      </c>
      <c r="G34" s="3">
        <f t="shared" si="14"/>
        <v>202363.35830357144</v>
      </c>
      <c r="H34" s="3">
        <f t="shared" si="14"/>
        <v>202363.35830357144</v>
      </c>
      <c r="I34" s="3">
        <f t="shared" si="14"/>
        <v>202363.35830357144</v>
      </c>
      <c r="J34" s="3">
        <f t="shared" si="14"/>
        <v>202363.35830357144</v>
      </c>
      <c r="K34" s="3">
        <f t="shared" si="14"/>
        <v>202363.35830357144</v>
      </c>
      <c r="L34" s="3">
        <f t="shared" si="14"/>
        <v>202363.35830357144</v>
      </c>
      <c r="M34" s="3">
        <f t="shared" si="14"/>
        <v>202363.35830357144</v>
      </c>
      <c r="N34" s="3">
        <f t="shared" si="14"/>
        <v>202363.35830357144</v>
      </c>
      <c r="O34" s="3">
        <f t="shared" si="14"/>
        <v>202363.35830357144</v>
      </c>
      <c r="P34" s="3">
        <f t="shared" si="14"/>
        <v>202363.35830357144</v>
      </c>
      <c r="Q34" s="3">
        <f t="shared" si="14"/>
        <v>202363.35830357144</v>
      </c>
      <c r="R34" s="3">
        <f t="shared" si="14"/>
        <v>202363.35830357144</v>
      </c>
      <c r="S34" s="3">
        <f t="shared" si="14"/>
        <v>202363.35830357144</v>
      </c>
      <c r="T34" s="3">
        <f t="shared" si="14"/>
        <v>202363.35830357144</v>
      </c>
      <c r="U34" s="3">
        <f t="shared" si="14"/>
        <v>202363.35830357144</v>
      </c>
      <c r="V34" s="3">
        <f t="shared" si="14"/>
        <v>202363.35830357144</v>
      </c>
      <c r="W34" s="3">
        <f t="shared" si="14"/>
        <v>202363.35830357144</v>
      </c>
      <c r="X34" s="3">
        <f t="shared" si="14"/>
        <v>202363.35830357144</v>
      </c>
      <c r="Y34" s="3">
        <f t="shared" si="14"/>
        <v>202363.35830357144</v>
      </c>
      <c r="Z34" s="3">
        <f t="shared" si="14"/>
        <v>202363.35830357144</v>
      </c>
      <c r="AA34" s="3">
        <f t="shared" si="14"/>
        <v>202363.35830357144</v>
      </c>
      <c r="AB34" s="3">
        <f t="shared" si="14"/>
        <v>202363.35830357144</v>
      </c>
      <c r="AC34" s="3">
        <f t="shared" si="14"/>
        <v>202363.35830357144</v>
      </c>
      <c r="AD34" s="3">
        <f t="shared" si="14"/>
        <v>202363.35830357144</v>
      </c>
      <c r="AE34" s="3">
        <f t="shared" si="14"/>
        <v>202363.35830357144</v>
      </c>
      <c r="AF34" s="3">
        <f t="shared" si="14"/>
        <v>202363.35830357144</v>
      </c>
      <c r="AG34" s="3">
        <f t="shared" si="14"/>
        <v>202363.35830357144</v>
      </c>
      <c r="AH34" s="3">
        <f t="shared" si="14"/>
        <v>202363.35830357144</v>
      </c>
      <c r="AI34" s="3">
        <f t="shared" si="14"/>
        <v>202363.35830357144</v>
      </c>
      <c r="AJ34" s="3">
        <f t="shared" si="14"/>
        <v>202363.35830357144</v>
      </c>
      <c r="AK34" s="3">
        <f t="shared" si="14"/>
        <v>202363.35830357144</v>
      </c>
      <c r="AL34" s="3">
        <f t="shared" si="14"/>
        <v>202363.35830357144</v>
      </c>
      <c r="AM34" s="3">
        <f t="shared" si="14"/>
        <v>202363.35830357144</v>
      </c>
      <c r="AN34" s="3">
        <f t="shared" si="14"/>
        <v>202363.35830357144</v>
      </c>
      <c r="AO34" s="3">
        <f t="shared" si="14"/>
        <v>202363.35830357144</v>
      </c>
      <c r="AP34" s="3">
        <f t="shared" si="14"/>
        <v>202363.35830357144</v>
      </c>
      <c r="AQ34" s="3">
        <f t="shared" si="14"/>
        <v>202363.35830357144</v>
      </c>
      <c r="AR34" s="3">
        <f t="shared" si="14"/>
        <v>202363.35830357144</v>
      </c>
      <c r="AS34" s="3">
        <f t="shared" si="14"/>
        <v>202363.35830357144</v>
      </c>
      <c r="AT34" s="3">
        <f t="shared" si="14"/>
        <v>202363.35830357144</v>
      </c>
      <c r="AU34" s="3">
        <f t="shared" si="14"/>
        <v>202363.35830357144</v>
      </c>
      <c r="AV34" s="3">
        <f t="shared" si="14"/>
        <v>202363.35830357144</v>
      </c>
      <c r="AW34" s="3">
        <f t="shared" si="14"/>
        <v>202363.35830357144</v>
      </c>
      <c r="AX34" s="3">
        <f t="shared" si="14"/>
        <v>202363.35830357144</v>
      </c>
      <c r="AY34" s="3">
        <f t="shared" si="14"/>
        <v>202363.35830357144</v>
      </c>
      <c r="AZ34" s="3">
        <f t="shared" si="14"/>
        <v>202363.35830357144</v>
      </c>
      <c r="BA34" s="3">
        <f t="shared" si="14"/>
        <v>202363.35830357144</v>
      </c>
      <c r="BB34" s="3">
        <f t="shared" si="14"/>
        <v>202363.35830357144</v>
      </c>
      <c r="BC34" s="3">
        <f t="shared" si="14"/>
        <v>202363.35830357144</v>
      </c>
      <c r="BD34" s="3">
        <f t="shared" si="14"/>
        <v>202363.35830357144</v>
      </c>
      <c r="BE34" s="3">
        <f t="shared" si="14"/>
        <v>202363.35830357144</v>
      </c>
      <c r="BF34" s="3">
        <f t="shared" si="14"/>
        <v>202363.35830357144</v>
      </c>
      <c r="BG34" s="3">
        <f t="shared" si="14"/>
        <v>202363.35830357144</v>
      </c>
      <c r="BH34" s="3">
        <f t="shared" si="14"/>
        <v>202363.35830357144</v>
      </c>
      <c r="BI34" s="3">
        <f t="shared" si="14"/>
        <v>202363.35830357144</v>
      </c>
      <c r="BJ34" s="3">
        <f t="shared" si="14"/>
        <v>202363.35830357144</v>
      </c>
      <c r="BK34" s="3">
        <f t="shared" si="14"/>
        <v>202363.35830357144</v>
      </c>
      <c r="BL34" s="3">
        <f t="shared" si="14"/>
        <v>202363.35830357144</v>
      </c>
      <c r="BM34" s="3">
        <f t="shared" si="14"/>
        <v>202363.35830357144</v>
      </c>
      <c r="BN34" s="3">
        <f t="shared" si="14"/>
        <v>202363.35830357144</v>
      </c>
      <c r="BO34" s="3">
        <f t="shared" si="14"/>
        <v>202363.35830357144</v>
      </c>
      <c r="BP34" s="3">
        <f t="shared" si="14"/>
        <v>202363.35830357144</v>
      </c>
      <c r="BQ34" s="3">
        <f t="shared" si="14"/>
        <v>202363.35830357144</v>
      </c>
      <c r="BR34" s="3">
        <f t="shared" ref="BR34:CX34" si="15">BQ34</f>
        <v>202363.35830357144</v>
      </c>
      <c r="BS34" s="3">
        <f t="shared" si="15"/>
        <v>202363.35830357144</v>
      </c>
      <c r="BT34" s="3">
        <f t="shared" si="15"/>
        <v>202363.35830357144</v>
      </c>
      <c r="BU34" s="3">
        <f t="shared" si="15"/>
        <v>202363.35830357144</v>
      </c>
      <c r="BV34" s="3">
        <f t="shared" si="15"/>
        <v>202363.35830357144</v>
      </c>
      <c r="BW34" s="3">
        <f t="shared" si="15"/>
        <v>202363.35830357144</v>
      </c>
      <c r="BX34" s="3">
        <f t="shared" si="15"/>
        <v>202363.35830357144</v>
      </c>
      <c r="BY34" s="3">
        <f t="shared" si="15"/>
        <v>202363.35830357144</v>
      </c>
      <c r="BZ34" s="3">
        <f t="shared" si="15"/>
        <v>202363.35830357144</v>
      </c>
      <c r="CA34" s="3">
        <f t="shared" si="15"/>
        <v>202363.35830357144</v>
      </c>
      <c r="CB34" s="3">
        <f t="shared" si="15"/>
        <v>202363.35830357144</v>
      </c>
      <c r="CC34" s="3">
        <f t="shared" si="15"/>
        <v>202363.35830357144</v>
      </c>
      <c r="CD34" s="3">
        <f t="shared" si="15"/>
        <v>202363.35830357144</v>
      </c>
      <c r="CE34" s="3">
        <f t="shared" si="15"/>
        <v>202363.35830357144</v>
      </c>
      <c r="CF34" s="3">
        <f t="shared" si="15"/>
        <v>202363.35830357144</v>
      </c>
      <c r="CG34" s="3">
        <f t="shared" si="15"/>
        <v>202363.35830357144</v>
      </c>
      <c r="CH34" s="3">
        <f t="shared" si="15"/>
        <v>202363.35830357144</v>
      </c>
      <c r="CI34" s="3">
        <f t="shared" si="15"/>
        <v>202363.35830357144</v>
      </c>
      <c r="CJ34" s="3">
        <f t="shared" si="15"/>
        <v>202363.35830357144</v>
      </c>
      <c r="CK34" s="3">
        <f t="shared" si="15"/>
        <v>202363.35830357144</v>
      </c>
      <c r="CL34" s="3">
        <f t="shared" si="15"/>
        <v>202363.35830357144</v>
      </c>
      <c r="CM34" s="3">
        <f t="shared" si="15"/>
        <v>202363.35830357144</v>
      </c>
      <c r="CN34" s="3">
        <f t="shared" si="15"/>
        <v>202363.35830357144</v>
      </c>
      <c r="CO34" s="3">
        <f t="shared" si="15"/>
        <v>202363.35830357144</v>
      </c>
      <c r="CP34" s="3">
        <f t="shared" si="15"/>
        <v>202363.35830357144</v>
      </c>
      <c r="CQ34" s="3">
        <f t="shared" si="15"/>
        <v>202363.35830357144</v>
      </c>
      <c r="CR34" s="3">
        <f t="shared" si="15"/>
        <v>202363.35830357144</v>
      </c>
      <c r="CS34" s="3">
        <f t="shared" si="15"/>
        <v>202363.35830357144</v>
      </c>
      <c r="CT34" s="3">
        <f t="shared" si="15"/>
        <v>202363.35830357144</v>
      </c>
      <c r="CU34" s="3">
        <f t="shared" si="15"/>
        <v>202363.35830357144</v>
      </c>
      <c r="CV34" s="3">
        <f t="shared" si="15"/>
        <v>202363.35830357144</v>
      </c>
      <c r="CW34" s="3">
        <f t="shared" si="15"/>
        <v>202363.35830357144</v>
      </c>
      <c r="CX34" s="3">
        <f t="shared" si="15"/>
        <v>202363.35830357144</v>
      </c>
    </row>
    <row r="35" spans="2:102" x14ac:dyDescent="0.25">
      <c r="B35" t="s">
        <v>1239</v>
      </c>
      <c r="C35" s="16">
        <f>-C5</f>
        <v>-42380.100000000006</v>
      </c>
      <c r="D35" s="16">
        <f t="shared" ref="D35:BO35" si="16">-D5</f>
        <v>0</v>
      </c>
      <c r="E35" s="16">
        <f t="shared" si="16"/>
        <v>-41738.400000000001</v>
      </c>
      <c r="F35" s="16">
        <f t="shared" si="16"/>
        <v>0</v>
      </c>
      <c r="G35" s="16">
        <f t="shared" si="16"/>
        <v>-54474.75</v>
      </c>
      <c r="H35" s="16">
        <f t="shared" si="16"/>
        <v>0</v>
      </c>
      <c r="I35" s="16">
        <f t="shared" si="16"/>
        <v>0</v>
      </c>
      <c r="J35" s="16">
        <f t="shared" si="16"/>
        <v>0</v>
      </c>
      <c r="K35" s="16">
        <f t="shared" si="16"/>
        <v>0</v>
      </c>
      <c r="L35" s="16">
        <f t="shared" si="16"/>
        <v>-151920.15</v>
      </c>
      <c r="M35" s="16">
        <f t="shared" si="16"/>
        <v>0</v>
      </c>
      <c r="N35" s="16">
        <f t="shared" si="16"/>
        <v>-170785.2</v>
      </c>
      <c r="O35" s="16">
        <f t="shared" si="16"/>
        <v>-539362.80000000005</v>
      </c>
      <c r="P35" s="16">
        <f t="shared" si="16"/>
        <v>-118235.55</v>
      </c>
      <c r="Q35" s="16">
        <f t="shared" si="16"/>
        <v>-599682.6</v>
      </c>
      <c r="R35" s="16">
        <f t="shared" si="16"/>
        <v>-352302.6</v>
      </c>
      <c r="S35" s="16">
        <f t="shared" si="16"/>
        <v>-353460.44999999995</v>
      </c>
      <c r="T35" s="16">
        <f t="shared" si="16"/>
        <v>-287002.64999999997</v>
      </c>
      <c r="U35" s="16">
        <f t="shared" si="16"/>
        <v>-207748.05</v>
      </c>
      <c r="V35" s="16">
        <f t="shared" si="16"/>
        <v>-644959.65</v>
      </c>
      <c r="W35" s="16">
        <f t="shared" si="16"/>
        <v>-105438.75</v>
      </c>
      <c r="X35" s="16">
        <f t="shared" si="16"/>
        <v>-777577.64999999991</v>
      </c>
      <c r="Y35" s="16">
        <f t="shared" si="16"/>
        <v>-133436.4</v>
      </c>
      <c r="Z35" s="16">
        <f t="shared" si="16"/>
        <v>-150027.6</v>
      </c>
      <c r="AA35" s="16">
        <f t="shared" si="16"/>
        <v>-181917.3</v>
      </c>
      <c r="AB35" s="16">
        <f t="shared" si="16"/>
        <v>-199954.65000000002</v>
      </c>
      <c r="AC35" s="16">
        <f t="shared" si="16"/>
        <v>0</v>
      </c>
      <c r="AD35" s="16">
        <f t="shared" si="16"/>
        <v>0</v>
      </c>
      <c r="AE35" s="16">
        <f t="shared" si="16"/>
        <v>-660114</v>
      </c>
      <c r="AF35" s="16">
        <f t="shared" si="16"/>
        <v>-383820.29999999993</v>
      </c>
      <c r="AG35" s="16">
        <f t="shared" si="16"/>
        <v>-470533.5</v>
      </c>
      <c r="AH35" s="16">
        <f t="shared" si="16"/>
        <v>-359626.35000000003</v>
      </c>
      <c r="AI35" s="16">
        <f t="shared" si="16"/>
        <v>-482488.65</v>
      </c>
      <c r="AJ35" s="16">
        <f t="shared" si="16"/>
        <v>-157755.89999999997</v>
      </c>
      <c r="AK35" s="16">
        <f t="shared" si="16"/>
        <v>-594242.1</v>
      </c>
      <c r="AL35" s="16">
        <f t="shared" si="16"/>
        <v>-360640.05</v>
      </c>
      <c r="AM35" s="16">
        <f t="shared" si="16"/>
        <v>-99844.799999999988</v>
      </c>
      <c r="AN35" s="16">
        <f t="shared" si="16"/>
        <v>-366996.60000000003</v>
      </c>
      <c r="AO35" s="16">
        <f t="shared" si="16"/>
        <v>-735802.04999999981</v>
      </c>
      <c r="AP35" s="16">
        <f t="shared" si="16"/>
        <v>-433431.14999999997</v>
      </c>
      <c r="AQ35" s="16">
        <f t="shared" si="16"/>
        <v>-489812.40000000008</v>
      </c>
      <c r="AR35" s="16">
        <f t="shared" si="16"/>
        <v>-353372.1</v>
      </c>
      <c r="AS35" s="16">
        <f t="shared" si="16"/>
        <v>-391502.10000000003</v>
      </c>
      <c r="AT35" s="16">
        <f t="shared" si="16"/>
        <v>-371521.05</v>
      </c>
      <c r="AU35" s="16">
        <f t="shared" si="16"/>
        <v>-377296.35</v>
      </c>
      <c r="AV35" s="16">
        <f t="shared" si="16"/>
        <v>-107391.75</v>
      </c>
      <c r="AW35" s="16">
        <f t="shared" si="16"/>
        <v>-218605.8</v>
      </c>
      <c r="AX35" s="16">
        <f t="shared" si="16"/>
        <v>-547249.19999999995</v>
      </c>
      <c r="AY35" s="16">
        <f t="shared" si="16"/>
        <v>-375343.35</v>
      </c>
      <c r="AZ35" s="16">
        <f t="shared" si="16"/>
        <v>-115417.65</v>
      </c>
      <c r="BA35" s="16">
        <f t="shared" si="16"/>
        <v>-349154.55</v>
      </c>
      <c r="BB35" s="16">
        <f t="shared" si="16"/>
        <v>-36828</v>
      </c>
      <c r="BC35" s="16">
        <f t="shared" si="16"/>
        <v>-207915.45</v>
      </c>
      <c r="BD35" s="16">
        <f t="shared" si="16"/>
        <v>-203702.55</v>
      </c>
      <c r="BE35" s="16">
        <f t="shared" si="16"/>
        <v>-128005.2</v>
      </c>
      <c r="BF35" s="16">
        <f t="shared" si="16"/>
        <v>0</v>
      </c>
      <c r="BG35" s="16">
        <f t="shared" si="16"/>
        <v>-241595.4</v>
      </c>
      <c r="BH35" s="16">
        <f t="shared" si="16"/>
        <v>-213611.7</v>
      </c>
      <c r="BI35" s="16">
        <f t="shared" si="16"/>
        <v>0</v>
      </c>
      <c r="BJ35" s="16">
        <f t="shared" si="16"/>
        <v>-233397.44999999995</v>
      </c>
      <c r="BK35" s="16">
        <f t="shared" si="16"/>
        <v>-395045.39999999997</v>
      </c>
      <c r="BL35" s="16">
        <f t="shared" si="16"/>
        <v>-212616.59999999998</v>
      </c>
      <c r="BM35" s="16">
        <f t="shared" si="16"/>
        <v>-295470.30000000005</v>
      </c>
      <c r="BN35" s="16">
        <f t="shared" si="16"/>
        <v>0</v>
      </c>
      <c r="BO35" s="16">
        <f t="shared" si="16"/>
        <v>0</v>
      </c>
      <c r="BP35" s="16">
        <f t="shared" ref="BP35:CX35" si="17">-BP5</f>
        <v>0</v>
      </c>
      <c r="BQ35" s="16">
        <f t="shared" si="17"/>
        <v>0</v>
      </c>
      <c r="BR35" s="16">
        <f t="shared" si="17"/>
        <v>0</v>
      </c>
      <c r="BS35" s="16">
        <f t="shared" si="17"/>
        <v>0</v>
      </c>
      <c r="BT35" s="16">
        <f t="shared" si="17"/>
        <v>0</v>
      </c>
      <c r="BU35" s="16">
        <f t="shared" si="17"/>
        <v>-42380.100000000006</v>
      </c>
      <c r="BV35" s="16">
        <f t="shared" si="17"/>
        <v>0</v>
      </c>
      <c r="BW35" s="16">
        <f t="shared" si="17"/>
        <v>-41738.400000000001</v>
      </c>
      <c r="BX35" s="16">
        <f t="shared" si="17"/>
        <v>0</v>
      </c>
      <c r="BY35" s="16">
        <f t="shared" si="17"/>
        <v>-54474.75</v>
      </c>
      <c r="BZ35" s="16">
        <f t="shared" si="17"/>
        <v>0</v>
      </c>
      <c r="CA35" s="16">
        <f t="shared" si="17"/>
        <v>0</v>
      </c>
      <c r="CB35" s="16">
        <f t="shared" si="17"/>
        <v>0</v>
      </c>
      <c r="CC35" s="16">
        <f t="shared" si="17"/>
        <v>0</v>
      </c>
      <c r="CD35" s="16">
        <f t="shared" si="17"/>
        <v>0</v>
      </c>
      <c r="CE35" s="16">
        <f t="shared" si="17"/>
        <v>0</v>
      </c>
      <c r="CF35" s="16">
        <f t="shared" si="17"/>
        <v>-170785.2</v>
      </c>
      <c r="CG35" s="16">
        <f t="shared" si="17"/>
        <v>0</v>
      </c>
      <c r="CH35" s="16">
        <f t="shared" si="17"/>
        <v>0</v>
      </c>
      <c r="CI35" s="16">
        <f t="shared" si="17"/>
        <v>0</v>
      </c>
      <c r="CJ35" s="16">
        <f t="shared" si="17"/>
        <v>0</v>
      </c>
      <c r="CK35" s="16">
        <f t="shared" si="17"/>
        <v>0</v>
      </c>
      <c r="CL35" s="16">
        <f t="shared" si="17"/>
        <v>0</v>
      </c>
      <c r="CM35" s="16">
        <f t="shared" si="17"/>
        <v>-61263.75</v>
      </c>
      <c r="CN35" s="16">
        <f t="shared" si="17"/>
        <v>-151920.15</v>
      </c>
      <c r="CO35" s="16">
        <f t="shared" si="17"/>
        <v>0</v>
      </c>
      <c r="CP35" s="16">
        <f t="shared" si="17"/>
        <v>0</v>
      </c>
      <c r="CQ35" s="16">
        <f t="shared" si="17"/>
        <v>-539362.80000000005</v>
      </c>
      <c r="CR35" s="16">
        <f t="shared" si="17"/>
        <v>-218675.55</v>
      </c>
      <c r="CS35" s="16">
        <f t="shared" si="17"/>
        <v>-599682.6</v>
      </c>
      <c r="CT35" s="16">
        <f t="shared" si="17"/>
        <v>-434705.25</v>
      </c>
      <c r="CU35" s="16">
        <f t="shared" si="17"/>
        <v>-353460.44999999995</v>
      </c>
      <c r="CV35" s="16">
        <f t="shared" si="17"/>
        <v>-287002.64999999997</v>
      </c>
      <c r="CW35" s="16">
        <f t="shared" si="17"/>
        <v>-246956.84999999998</v>
      </c>
      <c r="CX35" s="16">
        <f t="shared" si="17"/>
        <v>-502925.4</v>
      </c>
    </row>
    <row r="37" spans="2:102" x14ac:dyDescent="0.25">
      <c r="B37" t="s">
        <v>1240</v>
      </c>
      <c r="C37" s="2">
        <f>SUM(C33:C36)</f>
        <v>659983.25830357149</v>
      </c>
      <c r="D37" s="2">
        <f>SUM(D33:D36)</f>
        <v>862346.61660714296</v>
      </c>
      <c r="E37" s="2">
        <f>SUM(E33:E36)</f>
        <v>1022971.5749107144</v>
      </c>
      <c r="F37" s="2">
        <f t="shared" ref="F37" si="18">SUM(F33:F36)</f>
        <v>1225334.9332142859</v>
      </c>
      <c r="G37" s="2">
        <f t="shared" ref="G37" si="19">SUM(G33:G36)</f>
        <v>1373223.5415178572</v>
      </c>
      <c r="H37" s="2">
        <f t="shared" ref="H37" si="20">SUM(H33:H36)</f>
        <v>1575586.8998214286</v>
      </c>
      <c r="I37" s="2">
        <f t="shared" ref="I37" si="21">SUM(I33:I36)</f>
        <v>1777950.2581249999</v>
      </c>
      <c r="J37" s="2">
        <f t="shared" ref="J37" si="22">SUM(J33:J36)</f>
        <v>1980313.6164285713</v>
      </c>
      <c r="K37" s="2">
        <f t="shared" ref="K37" si="23">SUM(K33:K36)</f>
        <v>2182676.9747321429</v>
      </c>
      <c r="L37" s="2">
        <f t="shared" ref="L37" si="24">SUM(L33:L36)</f>
        <v>2233120.1830357146</v>
      </c>
      <c r="M37" s="2">
        <f t="shared" ref="M37" si="25">SUM(M33:M36)</f>
        <v>2435483.5413392861</v>
      </c>
      <c r="N37" s="2">
        <f t="shared" ref="N37" si="26">SUM(N33:N36)</f>
        <v>2467061.6996428575</v>
      </c>
      <c r="O37" s="2">
        <f t="shared" ref="O37" si="27">SUM(O33:O36)</f>
        <v>2130062.2579464288</v>
      </c>
      <c r="P37" s="2">
        <f t="shared" ref="P37" si="28">SUM(P33:P36)</f>
        <v>2214190.0662500006</v>
      </c>
      <c r="Q37" s="2">
        <f t="shared" ref="Q37" si="29">SUM(Q33:Q36)</f>
        <v>1816870.8245535721</v>
      </c>
      <c r="R37" s="2">
        <f t="shared" ref="R37" si="30">SUM(R33:R36)</f>
        <v>1666931.5828571436</v>
      </c>
      <c r="S37" s="2">
        <f t="shared" ref="S37" si="31">SUM(S33:S36)</f>
        <v>1515834.491160715</v>
      </c>
      <c r="T37" s="2">
        <f t="shared" ref="T37" si="32">SUM(T33:T36)</f>
        <v>1431195.1994642864</v>
      </c>
      <c r="U37" s="2">
        <f t="shared" ref="U37" si="33">SUM(U33:U36)</f>
        <v>1425810.5077678578</v>
      </c>
      <c r="V37" s="2">
        <f t="shared" ref="V37" si="34">SUM(V33:V36)</f>
        <v>983214.21607142908</v>
      </c>
      <c r="W37" s="2">
        <f t="shared" ref="W37" si="35">SUM(W33:W36)</f>
        <v>1080138.8243750005</v>
      </c>
      <c r="X37" s="2">
        <f t="shared" ref="X37" si="36">SUM(X33:X36)</f>
        <v>504924.532678572</v>
      </c>
      <c r="Y37" s="2">
        <f t="shared" ref="Y37" si="37">SUM(Y33:Y36)</f>
        <v>573851.49098214344</v>
      </c>
      <c r="Z37" s="2">
        <f t="shared" ref="Z37" si="38">SUM(Z33:Z36)</f>
        <v>626187.24928571493</v>
      </c>
      <c r="AA37" s="2">
        <f t="shared" ref="AA37" si="39">SUM(AA33:AA36)</f>
        <v>646633.30758928647</v>
      </c>
      <c r="AB37" s="2">
        <f t="shared" ref="AB37" si="40">SUM(AB33:AB36)</f>
        <v>649042.01589285792</v>
      </c>
      <c r="AC37" s="2">
        <f t="shared" ref="AC37" si="41">SUM(AC33:AC36)</f>
        <v>851405.37419642939</v>
      </c>
      <c r="AD37" s="2">
        <f t="shared" ref="AD37" si="42">SUM(AD33:AD36)</f>
        <v>1053768.7325000009</v>
      </c>
      <c r="AE37" s="2">
        <f t="shared" ref="AE37" si="43">SUM(AE33:AE36)</f>
        <v>596018.09080357221</v>
      </c>
      <c r="AF37" s="2">
        <f t="shared" ref="AF37" si="44">SUM(AF33:AF36)</f>
        <v>414561.14910714375</v>
      </c>
      <c r="AG37" s="2">
        <f t="shared" ref="AG37" si="45">SUM(AG33:AG36)</f>
        <v>146391.00741071522</v>
      </c>
      <c r="AH37" s="2">
        <f t="shared" ref="AH37" si="46">SUM(AH33:AH36)</f>
        <v>-10871.984285713348</v>
      </c>
      <c r="AI37" s="2">
        <f t="shared" ref="AI37" si="47">SUM(AI33:AI36)</f>
        <v>-290997.27598214196</v>
      </c>
      <c r="AJ37" s="2">
        <f t="shared" ref="AJ37" si="48">SUM(AJ33:AJ36)</f>
        <v>-246389.81767857049</v>
      </c>
      <c r="AK37" s="2">
        <f t="shared" ref="AK37" si="49">SUM(AK33:AK36)</f>
        <v>-638268.55937499902</v>
      </c>
      <c r="AL37" s="2">
        <f t="shared" ref="AL37" si="50">SUM(AL33:AL36)</f>
        <v>-796545.25107142748</v>
      </c>
      <c r="AM37" s="2">
        <f t="shared" ref="AM37" si="51">SUM(AM33:AM36)</f>
        <v>-694026.69276785594</v>
      </c>
      <c r="AN37" s="2">
        <f t="shared" ref="AN37" si="52">SUM(AN33:AN36)</f>
        <v>-858659.93446428445</v>
      </c>
      <c r="AO37" s="2">
        <f t="shared" ref="AO37" si="53">SUM(AO33:AO36)</f>
        <v>-1392098.6261607129</v>
      </c>
      <c r="AP37" s="2">
        <f t="shared" ref="AP37" si="54">SUM(AP33:AP36)</f>
        <v>-1623166.4178571415</v>
      </c>
      <c r="AQ37" s="2">
        <f t="shared" ref="AQ37" si="55">SUM(AQ33:AQ36)</f>
        <v>-1910615.4595535703</v>
      </c>
      <c r="AR37" s="2">
        <f t="shared" ref="AR37" si="56">SUM(AR33:AR36)</f>
        <v>-2061624.201249999</v>
      </c>
      <c r="AS37" s="2">
        <f t="shared" ref="AS37" si="57">SUM(AS33:AS36)</f>
        <v>-2250762.9429464275</v>
      </c>
      <c r="AT37" s="2">
        <f t="shared" ref="AT37" si="58">SUM(AT33:AT36)</f>
        <v>-2419920.6346428562</v>
      </c>
      <c r="AU37" s="2">
        <f t="shared" ref="AU37" si="59">SUM(AU33:AU36)</f>
        <v>-2594853.6263392847</v>
      </c>
      <c r="AV37" s="2">
        <f t="shared" ref="AV37" si="60">SUM(AV33:AV36)</f>
        <v>-2499882.0180357131</v>
      </c>
      <c r="AW37" s="2">
        <f t="shared" ref="AW37" si="61">SUM(AW33:AW36)</f>
        <v>-2516124.4597321413</v>
      </c>
      <c r="AX37" s="2">
        <f t="shared" ref="AX37" si="62">SUM(AX33:AX36)</f>
        <v>-2861010.3014285695</v>
      </c>
      <c r="AY37" s="2">
        <f t="shared" ref="AY37" si="63">SUM(AY33:AY36)</f>
        <v>-3033990.293124998</v>
      </c>
      <c r="AZ37" s="2">
        <f t="shared" ref="AZ37" si="64">SUM(AZ33:AZ36)</f>
        <v>-2947044.5848214263</v>
      </c>
      <c r="BA37" s="2">
        <f t="shared" ref="BA37" si="65">SUM(BA33:BA36)</f>
        <v>-3093835.7765178545</v>
      </c>
      <c r="BB37" s="2">
        <f t="shared" ref="BB37" si="66">SUM(BB33:BB36)</f>
        <v>-2928300.418214283</v>
      </c>
      <c r="BC37" s="2">
        <f t="shared" ref="BC37" si="67">SUM(BC33:BC36)</f>
        <v>-2933852.5099107116</v>
      </c>
      <c r="BD37" s="2">
        <f t="shared" ref="BD37" si="68">SUM(BD33:BD36)</f>
        <v>-2935191.7016071398</v>
      </c>
      <c r="BE37" s="2">
        <f t="shared" ref="BE37" si="69">SUM(BE33:BE36)</f>
        <v>-2860833.5433035684</v>
      </c>
      <c r="BF37" s="2">
        <f t="shared" ref="BF37" si="70">SUM(BF33:BF36)</f>
        <v>-2658470.1849999968</v>
      </c>
      <c r="BG37" s="2">
        <f t="shared" ref="BG37" si="71">SUM(BG33:BG36)</f>
        <v>-2697702.2266964251</v>
      </c>
      <c r="BH37" s="2">
        <f t="shared" ref="BH37" si="72">SUM(BH33:BH36)</f>
        <v>-2708950.5683928537</v>
      </c>
      <c r="BI37" s="2">
        <f t="shared" ref="BI37" si="73">SUM(BI33:BI36)</f>
        <v>-2506587.2100892821</v>
      </c>
      <c r="BJ37" s="2">
        <f t="shared" ref="BJ37" si="74">SUM(BJ33:BJ36)</f>
        <v>-2537621.3017857103</v>
      </c>
      <c r="BK37" s="2">
        <f t="shared" ref="BK37" si="75">SUM(BK33:BK36)</f>
        <v>-2730303.3434821386</v>
      </c>
      <c r="BL37" s="2">
        <f t="shared" ref="BL37" si="76">SUM(BL33:BL36)</f>
        <v>-2740556.5851785671</v>
      </c>
      <c r="BM37" s="2">
        <f t="shared" ref="BM37" si="77">SUM(BM33:BM36)</f>
        <v>-2833663.5268749958</v>
      </c>
      <c r="BN37" s="2">
        <f t="shared" ref="BN37" si="78">SUM(BN33:BN36)</f>
        <v>-2631300.1685714242</v>
      </c>
      <c r="BO37" s="2">
        <f t="shared" ref="BO37" si="79">SUM(BO33:BO36)</f>
        <v>-2428936.8102678526</v>
      </c>
      <c r="BP37" s="2">
        <f t="shared" ref="BP37" si="80">SUM(BP33:BP36)</f>
        <v>-2226573.451964281</v>
      </c>
      <c r="BQ37" s="2">
        <f t="shared" ref="BQ37" si="81">SUM(BQ33:BQ36)</f>
        <v>-2024210.0936607097</v>
      </c>
      <c r="BR37" s="2">
        <f t="shared" ref="BR37" si="82">SUM(BR33:BR36)</f>
        <v>-1821846.7353571383</v>
      </c>
      <c r="BS37" s="2">
        <f t="shared" ref="BS37" si="83">SUM(BS33:BS36)</f>
        <v>-1619483.377053567</v>
      </c>
      <c r="BT37" s="2">
        <f t="shared" ref="BT37" si="84">SUM(BT33:BT36)</f>
        <v>-1417120.0187499956</v>
      </c>
      <c r="BU37" s="2">
        <f t="shared" ref="BU37" si="85">SUM(BU33:BU36)</f>
        <v>-1257136.7604464244</v>
      </c>
      <c r="BV37" s="2">
        <f t="shared" ref="BV37" si="86">SUM(BV33:BV36)</f>
        <v>-1054773.402142853</v>
      </c>
      <c r="BW37" s="2">
        <f t="shared" ref="BW37" si="87">SUM(BW33:BW36)</f>
        <v>-894148.44383928156</v>
      </c>
      <c r="BX37" s="2">
        <f t="shared" ref="BX37" si="88">SUM(BX33:BX36)</f>
        <v>-691785.0855357101</v>
      </c>
      <c r="BY37" s="2">
        <f t="shared" ref="BY37" si="89">SUM(BY33:BY36)</f>
        <v>-543896.47723213863</v>
      </c>
      <c r="BZ37" s="2">
        <f t="shared" ref="BZ37" si="90">SUM(BZ33:BZ36)</f>
        <v>-341533.11892856716</v>
      </c>
      <c r="CA37" s="2">
        <f t="shared" ref="CA37" si="91">SUM(CA33:CA36)</f>
        <v>-139169.76062499572</v>
      </c>
      <c r="CB37" s="2">
        <f t="shared" ref="CB37" si="92">SUM(CB33:CB36)</f>
        <v>63193.597678575723</v>
      </c>
      <c r="CC37" s="2">
        <f t="shared" ref="CC37" si="93">SUM(CC33:CC36)</f>
        <v>265556.95598214713</v>
      </c>
      <c r="CD37" s="2">
        <f t="shared" ref="CD37" si="94">SUM(CD33:CD36)</f>
        <v>467920.3142857186</v>
      </c>
      <c r="CE37" s="2">
        <f t="shared" ref="CE37" si="95">SUM(CE33:CE36)</f>
        <v>670283.67258929007</v>
      </c>
      <c r="CF37" s="2">
        <f t="shared" ref="CF37" si="96">SUM(CF33:CF36)</f>
        <v>701861.83089286159</v>
      </c>
      <c r="CG37" s="2">
        <f t="shared" ref="CG37" si="97">SUM(CG33:CG36)</f>
        <v>904225.18919643306</v>
      </c>
      <c r="CH37" s="2">
        <f t="shared" ref="CH37" si="98">SUM(CH33:CH36)</f>
        <v>1106588.5475000045</v>
      </c>
      <c r="CI37" s="2">
        <f t="shared" ref="CI37" si="99">SUM(CI33:CI36)</f>
        <v>1308951.9058035759</v>
      </c>
      <c r="CJ37" s="2">
        <f t="shared" ref="CJ37" si="100">SUM(CJ33:CJ36)</f>
        <v>1511315.2641071472</v>
      </c>
      <c r="CK37" s="2">
        <f t="shared" ref="CK37" si="101">SUM(CK33:CK36)</f>
        <v>1713678.6224107186</v>
      </c>
      <c r="CL37" s="2">
        <f t="shared" ref="CL37" si="102">SUM(CL33:CL36)</f>
        <v>1916041.9807142899</v>
      </c>
      <c r="CM37" s="2">
        <f t="shared" ref="CM37" si="103">SUM(CM33:CM36)</f>
        <v>2057141.5890178615</v>
      </c>
      <c r="CN37" s="2">
        <f t="shared" ref="CN37" si="104">SUM(CN33:CN36)</f>
        <v>2107584.7973214332</v>
      </c>
      <c r="CO37" s="2">
        <f t="shared" ref="CO37" si="105">SUM(CO33:CO36)</f>
        <v>2309948.1556250048</v>
      </c>
      <c r="CP37" s="2">
        <f t="shared" ref="CP37" si="106">SUM(CP33:CP36)</f>
        <v>2512311.5139285764</v>
      </c>
      <c r="CQ37" s="2">
        <f t="shared" ref="CQ37" si="107">SUM(CQ33:CQ36)</f>
        <v>2175312.0722321477</v>
      </c>
      <c r="CR37" s="2">
        <f t="shared" ref="CR37" si="108">SUM(CR33:CR36)</f>
        <v>2158999.8805357195</v>
      </c>
      <c r="CS37" s="2">
        <f t="shared" ref="CS37" si="109">SUM(CS33:CS36)</f>
        <v>1761680.6388392909</v>
      </c>
      <c r="CT37" s="2">
        <f t="shared" ref="CT37" si="110">SUM(CT33:CT36)</f>
        <v>1529338.7471428623</v>
      </c>
      <c r="CU37" s="2">
        <f t="shared" ref="CU37" si="111">SUM(CU33:CU36)</f>
        <v>1378241.6554464337</v>
      </c>
      <c r="CV37" s="2">
        <f t="shared" ref="CV37" si="112">SUM(CV33:CV36)</f>
        <v>1293602.3637500051</v>
      </c>
      <c r="CW37" s="2">
        <f t="shared" ref="CW37" si="113">SUM(CW33:CW36)</f>
        <v>1249008.8720535766</v>
      </c>
      <c r="CX37" s="2">
        <f t="shared" ref="CX37" si="114">SUM(CX33:CX36)</f>
        <v>948446.83035714796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A293-32CF-430E-B854-942EEF995C3C}">
  <dimension ref="A1:M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:D1048576"/>
    </sheetView>
  </sheetViews>
  <sheetFormatPr defaultColWidth="9.140625" defaultRowHeight="15" x14ac:dyDescent="0.25"/>
  <cols>
    <col min="2" max="2" width="17.42578125" bestFit="1" customWidth="1"/>
    <col min="3" max="3" width="15.85546875" bestFit="1" customWidth="1"/>
    <col min="4" max="4" width="15" customWidth="1"/>
    <col min="7" max="7" width="12.5703125" bestFit="1" customWidth="1"/>
    <col min="8" max="8" width="12.5703125" customWidth="1"/>
    <col min="11" max="11" width="11.5703125" style="29" customWidth="1"/>
    <col min="12" max="13" width="13.5703125" bestFit="1" customWidth="1"/>
  </cols>
  <sheetData>
    <row r="1" spans="1:13" ht="45" x14ac:dyDescent="0.25">
      <c r="A1" s="8" t="s">
        <v>41</v>
      </c>
      <c r="B1" s="8" t="s">
        <v>397</v>
      </c>
      <c r="C1" s="8" t="s">
        <v>43</v>
      </c>
      <c r="D1" s="8" t="s">
        <v>44</v>
      </c>
      <c r="E1" s="8" t="s">
        <v>45</v>
      </c>
      <c r="F1" s="8" t="s">
        <v>46</v>
      </c>
      <c r="G1" s="9" t="s">
        <v>1241</v>
      </c>
      <c r="H1" s="9" t="s">
        <v>1242</v>
      </c>
      <c r="I1" s="8" t="s">
        <v>47</v>
      </c>
      <c r="J1" s="8" t="s">
        <v>48</v>
      </c>
      <c r="K1" s="28" t="s">
        <v>1243</v>
      </c>
      <c r="L1" s="9" t="s">
        <v>51</v>
      </c>
      <c r="M1" s="9" t="s">
        <v>52</v>
      </c>
    </row>
    <row r="2" spans="1:13" x14ac:dyDescent="0.25">
      <c r="A2" t="s">
        <v>398</v>
      </c>
      <c r="B2" t="s">
        <v>399</v>
      </c>
      <c r="C2" t="s">
        <v>55</v>
      </c>
      <c r="D2" s="2">
        <v>10000000</v>
      </c>
      <c r="E2">
        <v>100</v>
      </c>
      <c r="F2">
        <v>75</v>
      </c>
      <c r="G2" s="6">
        <f>SUMIF('Bâtiments - Composant'!A:A,A2,'Bâtiments - Composant'!M:M)</f>
        <v>277333.33333333337</v>
      </c>
      <c r="H2" s="6">
        <f>SUMIF('Bâtiments - Composant'!A:A,A2,'Bâtiments - Composant'!N:N)</f>
        <v>185677.85422066189</v>
      </c>
      <c r="I2">
        <v>1965</v>
      </c>
      <c r="J2">
        <f>2022-I2</f>
        <v>57</v>
      </c>
      <c r="K2" s="29">
        <f>J2/F2</f>
        <v>0.76</v>
      </c>
      <c r="L2" s="3">
        <f>K2*D2</f>
        <v>7600000</v>
      </c>
      <c r="M2" s="3">
        <f>D2-L2</f>
        <v>2400000</v>
      </c>
    </row>
    <row r="3" spans="1:13" x14ac:dyDescent="0.25">
      <c r="A3" t="s">
        <v>400</v>
      </c>
      <c r="B3" t="s">
        <v>401</v>
      </c>
      <c r="C3" t="s">
        <v>58</v>
      </c>
      <c r="D3" s="2">
        <v>7500000</v>
      </c>
      <c r="E3">
        <v>100</v>
      </c>
      <c r="F3">
        <v>75</v>
      </c>
      <c r="G3" s="6">
        <f>SUMIF('Bâtiments - Composant'!A:A,A3,'Bâtiments - Composant'!M:M)</f>
        <v>235535.71428571429</v>
      </c>
      <c r="H3" s="6">
        <f>SUMIF('Bâtiments - Composant'!A:A,A3,'Bâtiments - Composant'!N:N)</f>
        <v>139258.39066549644</v>
      </c>
      <c r="I3">
        <v>1972</v>
      </c>
      <c r="J3">
        <f t="shared" ref="J3:J12" si="0">2022-I3</f>
        <v>50</v>
      </c>
      <c r="K3" s="29">
        <f t="shared" ref="K3:K12" si="1">J3/F3</f>
        <v>0.66666666666666663</v>
      </c>
      <c r="L3" s="3">
        <f t="shared" ref="L3:L12" si="2">K3*D3</f>
        <v>5000000</v>
      </c>
      <c r="M3" s="3">
        <f t="shared" ref="M3:M12" si="3">D3-L3</f>
        <v>2500000</v>
      </c>
    </row>
    <row r="4" spans="1:13" x14ac:dyDescent="0.25">
      <c r="A4" t="s">
        <v>402</v>
      </c>
      <c r="B4" t="s">
        <v>403</v>
      </c>
      <c r="C4" t="s">
        <v>61</v>
      </c>
      <c r="D4" s="2">
        <v>8000000</v>
      </c>
      <c r="E4">
        <v>100</v>
      </c>
      <c r="F4">
        <v>75</v>
      </c>
      <c r="G4" s="6">
        <f>SUMIF('Bâtiments - Composant'!A:A,A4,'Bâtiments - Composant'!M:M)</f>
        <v>251238.09523809527</v>
      </c>
      <c r="H4" s="6">
        <f>SUMIF('Bâtiments - Composant'!A:A,A4,'Bâtiments - Composant'!N:N)</f>
        <v>148542.28337652949</v>
      </c>
      <c r="I4">
        <v>1970</v>
      </c>
      <c r="J4">
        <f t="shared" si="0"/>
        <v>52</v>
      </c>
      <c r="K4" s="29">
        <f t="shared" si="1"/>
        <v>0.69333333333333336</v>
      </c>
      <c r="L4" s="3">
        <f t="shared" si="2"/>
        <v>5546666.666666667</v>
      </c>
      <c r="M4" s="3">
        <f t="shared" si="3"/>
        <v>2453333.333333333</v>
      </c>
    </row>
    <row r="5" spans="1:13" x14ac:dyDescent="0.25">
      <c r="A5" t="s">
        <v>404</v>
      </c>
      <c r="B5" t="s">
        <v>405</v>
      </c>
      <c r="C5" t="s">
        <v>64</v>
      </c>
      <c r="D5" s="2">
        <v>12000000</v>
      </c>
      <c r="E5">
        <v>100</v>
      </c>
      <c r="F5">
        <v>75</v>
      </c>
      <c r="G5" s="6">
        <f>SUMIF('Bâtiments - Composant'!A:A,A5,'Bâtiments - Composant'!M:M)</f>
        <v>376857.14285714284</v>
      </c>
      <c r="H5" s="6">
        <f>SUMIF('Bâtiments - Composant'!A:A,A5,'Bâtiments - Composant'!N:N)</f>
        <v>222813.42506479428</v>
      </c>
      <c r="I5">
        <v>1983</v>
      </c>
      <c r="J5">
        <f t="shared" si="0"/>
        <v>39</v>
      </c>
      <c r="K5" s="29">
        <f t="shared" si="1"/>
        <v>0.52</v>
      </c>
      <c r="L5" s="3">
        <f t="shared" si="2"/>
        <v>6240000</v>
      </c>
      <c r="M5" s="3">
        <f t="shared" si="3"/>
        <v>5760000</v>
      </c>
    </row>
    <row r="6" spans="1:13" x14ac:dyDescent="0.25">
      <c r="A6" t="s">
        <v>406</v>
      </c>
      <c r="B6" t="s">
        <v>407</v>
      </c>
      <c r="C6" t="s">
        <v>67</v>
      </c>
      <c r="D6" s="2">
        <v>7500000</v>
      </c>
      <c r="E6">
        <v>100</v>
      </c>
      <c r="F6">
        <v>75</v>
      </c>
      <c r="G6" s="6">
        <f>SUMIF('Bâtiments - Composant'!A:A,A6,'Bâtiments - Composant'!M:M)</f>
        <v>235535.71428571429</v>
      </c>
      <c r="H6" s="6">
        <f>SUMIF('Bâtiments - Composant'!A:A,A6,'Bâtiments - Composant'!N:N)</f>
        <v>139258.39066549644</v>
      </c>
      <c r="I6">
        <v>1979</v>
      </c>
      <c r="J6">
        <f t="shared" si="0"/>
        <v>43</v>
      </c>
      <c r="K6" s="29">
        <f t="shared" si="1"/>
        <v>0.57333333333333336</v>
      </c>
      <c r="L6" s="3">
        <f t="shared" si="2"/>
        <v>4300000</v>
      </c>
      <c r="M6" s="3">
        <f t="shared" si="3"/>
        <v>3200000</v>
      </c>
    </row>
    <row r="7" spans="1:13" x14ac:dyDescent="0.25">
      <c r="A7" t="s">
        <v>408</v>
      </c>
      <c r="B7" t="s">
        <v>409</v>
      </c>
      <c r="C7" t="s">
        <v>70</v>
      </c>
      <c r="D7" s="2">
        <v>2500000</v>
      </c>
      <c r="E7">
        <v>100</v>
      </c>
      <c r="F7">
        <v>75</v>
      </c>
      <c r="G7" s="6">
        <f>SUMIF('Bâtiments - Composant'!A:A,A7,'Bâtiments - Composant'!M:M)</f>
        <v>78511.904761904763</v>
      </c>
      <c r="H7" s="6">
        <f>SUMIF('Bâtiments - Composant'!A:A,A7,'Bâtiments - Composant'!N:N)</f>
        <v>46419.463555165472</v>
      </c>
      <c r="I7">
        <v>2000</v>
      </c>
      <c r="J7">
        <f t="shared" si="0"/>
        <v>22</v>
      </c>
      <c r="K7" s="29">
        <f t="shared" si="1"/>
        <v>0.29333333333333333</v>
      </c>
      <c r="L7" s="3">
        <f t="shared" si="2"/>
        <v>733333.33333333337</v>
      </c>
      <c r="M7" s="3">
        <f t="shared" si="3"/>
        <v>1766666.6666666665</v>
      </c>
    </row>
    <row r="8" spans="1:13" x14ac:dyDescent="0.25">
      <c r="A8" t="s">
        <v>410</v>
      </c>
      <c r="B8" t="s">
        <v>411</v>
      </c>
      <c r="C8" t="s">
        <v>73</v>
      </c>
      <c r="D8" s="2">
        <v>2500000</v>
      </c>
      <c r="E8">
        <v>100</v>
      </c>
      <c r="F8">
        <v>75</v>
      </c>
      <c r="G8" s="6">
        <f>SUMIF('Bâtiments - Composant'!A:A,A8,'Bâtiments - Composant'!M:M)</f>
        <v>78511.904761904763</v>
      </c>
      <c r="H8" s="6">
        <f>SUMIF('Bâtiments - Composant'!A:A,A8,'Bâtiments - Composant'!N:N)</f>
        <v>46419.463555165472</v>
      </c>
      <c r="I8">
        <v>2005</v>
      </c>
      <c r="J8">
        <f t="shared" si="0"/>
        <v>17</v>
      </c>
      <c r="K8" s="29">
        <f t="shared" si="1"/>
        <v>0.22666666666666666</v>
      </c>
      <c r="L8" s="3">
        <f t="shared" si="2"/>
        <v>566666.66666666663</v>
      </c>
      <c r="M8" s="3">
        <f t="shared" si="3"/>
        <v>1933333.3333333335</v>
      </c>
    </row>
    <row r="9" spans="1:13" x14ac:dyDescent="0.25">
      <c r="A9" t="s">
        <v>412</v>
      </c>
      <c r="B9" t="s">
        <v>413</v>
      </c>
      <c r="C9" t="s">
        <v>76</v>
      </c>
      <c r="D9" s="2">
        <v>500000</v>
      </c>
      <c r="E9">
        <v>100</v>
      </c>
      <c r="F9">
        <v>75</v>
      </c>
      <c r="G9" s="6">
        <f>SUMIF('Bâtiments - Composant'!A:A,A9,'Bâtiments - Composant'!M:M)</f>
        <v>15702.380952380954</v>
      </c>
      <c r="H9" s="6">
        <f>SUMIF('Bâtiments - Composant'!A:A,A9,'Bâtiments - Composant'!N:N)</f>
        <v>9283.8927110330933</v>
      </c>
      <c r="I9">
        <v>2000</v>
      </c>
      <c r="J9">
        <f t="shared" si="0"/>
        <v>22</v>
      </c>
      <c r="K9" s="29">
        <f t="shared" si="1"/>
        <v>0.29333333333333333</v>
      </c>
      <c r="L9" s="3">
        <f t="shared" si="2"/>
        <v>146666.66666666666</v>
      </c>
      <c r="M9" s="3">
        <f t="shared" si="3"/>
        <v>353333.33333333337</v>
      </c>
    </row>
    <row r="10" spans="1:13" x14ac:dyDescent="0.25">
      <c r="A10" t="s">
        <v>414</v>
      </c>
      <c r="B10" t="s">
        <v>415</v>
      </c>
      <c r="C10" t="s">
        <v>79</v>
      </c>
      <c r="D10" s="2">
        <v>500000</v>
      </c>
      <c r="E10">
        <v>100</v>
      </c>
      <c r="F10">
        <v>75</v>
      </c>
      <c r="G10" s="6">
        <f>SUMIF('Bâtiments - Composant'!A:A,A10,'Bâtiments - Composant'!M:M)</f>
        <v>15702.380952380954</v>
      </c>
      <c r="H10" s="6">
        <f>SUMIF('Bâtiments - Composant'!A:A,A10,'Bâtiments - Composant'!N:N)</f>
        <v>9283.8927110330933</v>
      </c>
      <c r="I10">
        <v>2013</v>
      </c>
      <c r="J10">
        <f t="shared" si="0"/>
        <v>9</v>
      </c>
      <c r="K10" s="29">
        <f t="shared" si="1"/>
        <v>0.12</v>
      </c>
      <c r="L10" s="3">
        <f t="shared" si="2"/>
        <v>60000</v>
      </c>
      <c r="M10" s="3">
        <f t="shared" si="3"/>
        <v>440000</v>
      </c>
    </row>
    <row r="11" spans="1:13" x14ac:dyDescent="0.25">
      <c r="A11" t="s">
        <v>416</v>
      </c>
      <c r="B11" t="s">
        <v>417</v>
      </c>
      <c r="C11" t="s">
        <v>1244</v>
      </c>
      <c r="D11" s="2">
        <v>500000</v>
      </c>
      <c r="E11">
        <v>100</v>
      </c>
      <c r="F11">
        <v>75</v>
      </c>
      <c r="G11" s="6">
        <f>SUMIF('Bâtiments - Composant'!A:A,A11,'Bâtiments - Composant'!M:M)</f>
        <v>15702.380952380954</v>
      </c>
      <c r="H11" s="6">
        <f>SUMIF('Bâtiments - Composant'!A:A,A11,'Bâtiments - Composant'!N:N)</f>
        <v>9283.8927110330933</v>
      </c>
      <c r="I11">
        <v>2000</v>
      </c>
      <c r="J11">
        <f t="shared" si="0"/>
        <v>22</v>
      </c>
      <c r="K11" s="29">
        <f t="shared" si="1"/>
        <v>0.29333333333333333</v>
      </c>
      <c r="L11" s="3">
        <f t="shared" si="2"/>
        <v>146666.66666666666</v>
      </c>
      <c r="M11" s="3">
        <f t="shared" si="3"/>
        <v>353333.33333333337</v>
      </c>
    </row>
    <row r="12" spans="1:13" x14ac:dyDescent="0.25">
      <c r="A12" t="s">
        <v>418</v>
      </c>
      <c r="B12" t="s">
        <v>419</v>
      </c>
      <c r="C12" t="s">
        <v>1245</v>
      </c>
      <c r="D12" s="16">
        <v>600000</v>
      </c>
      <c r="E12">
        <v>100</v>
      </c>
      <c r="F12">
        <v>75</v>
      </c>
      <c r="G12" s="17">
        <f>SUMIF('Bâtiments - Composant'!A:A,A12,'Bâtiments - Composant'!M:M)</f>
        <v>18842.857142857145</v>
      </c>
      <c r="H12" s="17">
        <f>SUMIF('Bâtiments - Composant'!A:A,A12,'Bâtiments - Composant'!N:N)</f>
        <v>11140.671253239712</v>
      </c>
      <c r="I12">
        <v>2001</v>
      </c>
      <c r="J12">
        <f t="shared" si="0"/>
        <v>21</v>
      </c>
      <c r="K12" s="29">
        <f t="shared" si="1"/>
        <v>0.28000000000000003</v>
      </c>
      <c r="L12" s="27">
        <f t="shared" si="2"/>
        <v>168000.00000000003</v>
      </c>
      <c r="M12" s="27">
        <f t="shared" si="3"/>
        <v>432000</v>
      </c>
    </row>
    <row r="14" spans="1:13" x14ac:dyDescent="0.25">
      <c r="D14" s="3">
        <f>SUM(D2:D13)</f>
        <v>52100000</v>
      </c>
      <c r="G14" s="3">
        <f>SUM(G2:G13)</f>
        <v>1599473.8095238102</v>
      </c>
      <c r="H14" s="3">
        <f>SUM(H2:H13)</f>
        <v>967381.62048964854</v>
      </c>
      <c r="L14" s="3">
        <f>SUM(L2:L13)</f>
        <v>30508000.000000004</v>
      </c>
      <c r="M14" s="3">
        <f>SUM(M2:M13)</f>
        <v>21591999.999999996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F75D-FE4A-45F2-B990-5DD4EF9C22BA}">
  <dimension ref="A1:S80"/>
  <sheetViews>
    <sheetView workbookViewId="0">
      <pane xSplit="1" ySplit="1" topLeftCell="D26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.140625" defaultRowHeight="15" x14ac:dyDescent="0.25"/>
  <cols>
    <col min="2" max="2" width="13.7109375" bestFit="1" customWidth="1"/>
    <col min="3" max="3" width="31.28515625" bestFit="1" customWidth="1"/>
    <col min="4" max="4" width="16.140625" customWidth="1"/>
    <col min="5" max="5" width="17" bestFit="1" customWidth="1"/>
    <col min="6" max="6" width="10.28515625" customWidth="1"/>
    <col min="7" max="7" width="13.5703125" bestFit="1" customWidth="1"/>
    <col min="10" max="10" width="12.5703125" customWidth="1"/>
    <col min="11" max="11" width="14.5703125" bestFit="1" customWidth="1"/>
    <col min="12" max="12" width="13.5703125" customWidth="1"/>
    <col min="13" max="13" width="12.5703125" bestFit="1" customWidth="1"/>
    <col min="14" max="14" width="12.5703125" customWidth="1"/>
    <col min="15" max="15" width="10.7109375" customWidth="1"/>
    <col min="17" max="17" width="11.5703125" style="29" customWidth="1"/>
    <col min="18" max="19" width="13.5703125" bestFit="1" customWidth="1"/>
  </cols>
  <sheetData>
    <row r="1" spans="1:19" ht="90" x14ac:dyDescent="0.25">
      <c r="A1" s="8" t="s">
        <v>1246</v>
      </c>
      <c r="B1" s="8" t="s">
        <v>420</v>
      </c>
      <c r="C1" s="8" t="s">
        <v>1247</v>
      </c>
      <c r="D1" s="8" t="s">
        <v>421</v>
      </c>
      <c r="E1" s="8" t="s">
        <v>1248</v>
      </c>
      <c r="F1" s="8" t="s">
        <v>422</v>
      </c>
      <c r="G1" s="8" t="s">
        <v>1249</v>
      </c>
      <c r="H1" s="8" t="s">
        <v>1250</v>
      </c>
      <c r="I1" s="8" t="s">
        <v>1251</v>
      </c>
      <c r="J1" s="9" t="s">
        <v>423</v>
      </c>
      <c r="K1" s="9" t="s">
        <v>424</v>
      </c>
      <c r="L1" s="9" t="s">
        <v>425</v>
      </c>
      <c r="M1" s="9" t="s">
        <v>1252</v>
      </c>
      <c r="N1" s="9" t="s">
        <v>1253</v>
      </c>
      <c r="O1" s="8" t="s">
        <v>426</v>
      </c>
      <c r="P1" s="8" t="s">
        <v>1254</v>
      </c>
      <c r="Q1" s="28" t="s">
        <v>1255</v>
      </c>
      <c r="R1" s="9" t="s">
        <v>1256</v>
      </c>
      <c r="S1" s="9" t="s">
        <v>1257</v>
      </c>
    </row>
    <row r="2" spans="1:19" x14ac:dyDescent="0.25">
      <c r="A2" s="33" t="s">
        <v>1258</v>
      </c>
      <c r="B2" s="33"/>
      <c r="C2" s="33" t="s">
        <v>1259</v>
      </c>
      <c r="D2" s="33" t="s">
        <v>1260</v>
      </c>
      <c r="E2" s="33" t="s">
        <v>1261</v>
      </c>
      <c r="F2" s="33"/>
      <c r="G2" s="34">
        <v>10000000</v>
      </c>
      <c r="H2">
        <v>100</v>
      </c>
      <c r="I2">
        <v>75</v>
      </c>
      <c r="J2">
        <f t="shared" ref="J2:J65" si="0">ROUNDDOWN($I$2/I2,0)</f>
        <v>1</v>
      </c>
      <c r="K2" s="35">
        <f>G2*J2</f>
        <v>10000000</v>
      </c>
      <c r="L2">
        <f>I2</f>
        <v>75</v>
      </c>
      <c r="M2" s="6">
        <f>K2/L2</f>
        <v>133333.33333333334</v>
      </c>
      <c r="N2" s="6">
        <f>(K2/(1+'Autres hypothèses'!$D$5))*('Autres hypothèses'!$D$5/(((1+'Autres hypothèses'!$D$5)^L2-1)))</f>
        <v>89268.199144548984</v>
      </c>
      <c r="O2">
        <v>1965</v>
      </c>
      <c r="P2">
        <f>2022-O2</f>
        <v>57</v>
      </c>
      <c r="Q2" s="29">
        <f>P2/I2</f>
        <v>0.76</v>
      </c>
      <c r="R2" s="3">
        <f>Q2*G2</f>
        <v>7600000</v>
      </c>
      <c r="S2" s="3">
        <f>G2-R2</f>
        <v>2400000</v>
      </c>
    </row>
    <row r="3" spans="1:19" x14ac:dyDescent="0.25">
      <c r="A3" t="s">
        <v>1262</v>
      </c>
      <c r="B3" t="s">
        <v>427</v>
      </c>
      <c r="C3" t="s">
        <v>428</v>
      </c>
      <c r="D3" t="s">
        <v>429</v>
      </c>
      <c r="E3" t="s">
        <v>1263</v>
      </c>
      <c r="F3" s="10">
        <v>7.0000000000000007E-2</v>
      </c>
      <c r="G3" s="36">
        <f>F3*G2</f>
        <v>700000.00000000012</v>
      </c>
      <c r="H3">
        <v>25</v>
      </c>
      <c r="I3">
        <v>20</v>
      </c>
      <c r="J3">
        <f t="shared" si="0"/>
        <v>3</v>
      </c>
      <c r="K3" s="35">
        <f t="shared" ref="K3:K66" si="1">G3*J3</f>
        <v>2100000.0000000005</v>
      </c>
      <c r="L3">
        <f t="shared" ref="L3:L66" si="2">L2</f>
        <v>75</v>
      </c>
      <c r="M3" s="6">
        <f t="shared" ref="M3:M8" si="3">K3/L3</f>
        <v>28000.000000000007</v>
      </c>
      <c r="N3" s="6">
        <f>(K3/(1+'Autres hypothèses'!$D$5))*('Autres hypothèses'!$D$5/(((1+'Autres hypothèses'!$D$5)^L3-1)))</f>
        <v>18746.321820355293</v>
      </c>
      <c r="O3">
        <f>O2+H3+H3</f>
        <v>2015</v>
      </c>
      <c r="P3">
        <f>2022-O3</f>
        <v>7</v>
      </c>
      <c r="Q3" s="29">
        <f>P3/I3</f>
        <v>0.35</v>
      </c>
      <c r="R3" s="3"/>
      <c r="S3" s="3"/>
    </row>
    <row r="4" spans="1:19" x14ac:dyDescent="0.25">
      <c r="A4" t="s">
        <v>1264</v>
      </c>
      <c r="B4" t="s">
        <v>430</v>
      </c>
      <c r="C4" t="s">
        <v>431</v>
      </c>
      <c r="D4" t="s">
        <v>432</v>
      </c>
      <c r="E4" t="s">
        <v>1265</v>
      </c>
      <c r="F4" s="10">
        <v>0.16</v>
      </c>
      <c r="G4" s="36">
        <f>F4*G2</f>
        <v>1600000</v>
      </c>
      <c r="H4">
        <v>24</v>
      </c>
      <c r="I4">
        <v>20</v>
      </c>
      <c r="J4">
        <f t="shared" si="0"/>
        <v>3</v>
      </c>
      <c r="K4" s="35">
        <f>G4*J4</f>
        <v>4800000</v>
      </c>
      <c r="L4">
        <f t="shared" si="2"/>
        <v>75</v>
      </c>
      <c r="M4" s="6">
        <f t="shared" si="3"/>
        <v>64000</v>
      </c>
      <c r="N4" s="6">
        <f>(K4/(1+'Autres hypothèses'!$D$5))*('Autres hypothèses'!$D$5/(((1+'Autres hypothèses'!$D$5)^L4-1)))</f>
        <v>42848.735589383512</v>
      </c>
      <c r="O4">
        <f>O2+H4+H4</f>
        <v>2013</v>
      </c>
      <c r="P4">
        <f t="shared" ref="P4:P67" si="4">2022-O4</f>
        <v>9</v>
      </c>
      <c r="Q4" s="29">
        <f t="shared" ref="Q4:Q8" si="5">P4/I4</f>
        <v>0.45</v>
      </c>
      <c r="R4" s="3"/>
      <c r="S4" s="3"/>
    </row>
    <row r="5" spans="1:19" x14ac:dyDescent="0.25">
      <c r="A5" t="s">
        <v>1266</v>
      </c>
      <c r="B5" t="s">
        <v>433</v>
      </c>
      <c r="C5" t="s">
        <v>434</v>
      </c>
      <c r="D5" t="s">
        <v>435</v>
      </c>
      <c r="E5" t="s">
        <v>1267</v>
      </c>
      <c r="F5" s="10">
        <v>0.02</v>
      </c>
      <c r="G5" s="36">
        <f>F5*G2</f>
        <v>200000</v>
      </c>
      <c r="H5">
        <v>50</v>
      </c>
      <c r="I5">
        <v>40</v>
      </c>
      <c r="J5">
        <f t="shared" si="0"/>
        <v>1</v>
      </c>
      <c r="K5" s="35">
        <f t="shared" si="1"/>
        <v>200000</v>
      </c>
      <c r="L5">
        <f t="shared" si="2"/>
        <v>75</v>
      </c>
      <c r="M5" s="6">
        <f t="shared" si="3"/>
        <v>2666.6666666666665</v>
      </c>
      <c r="N5" s="6">
        <f>(K5/(1+'Autres hypothèses'!$D$5))*('Autres hypothèses'!$D$5/(((1+'Autres hypothèses'!$D$5)^L5-1)))</f>
        <v>1785.3639828909797</v>
      </c>
      <c r="O5">
        <f>O2+H5</f>
        <v>2015</v>
      </c>
      <c r="P5">
        <f t="shared" si="4"/>
        <v>7</v>
      </c>
      <c r="Q5" s="29">
        <f t="shared" si="5"/>
        <v>0.17499999999999999</v>
      </c>
      <c r="R5" s="3"/>
      <c r="S5" s="3"/>
    </row>
    <row r="6" spans="1:19" x14ac:dyDescent="0.25">
      <c r="A6" t="s">
        <v>1268</v>
      </c>
      <c r="B6" t="s">
        <v>436</v>
      </c>
      <c r="C6" t="s">
        <v>437</v>
      </c>
      <c r="D6" t="s">
        <v>438</v>
      </c>
      <c r="E6" t="s">
        <v>1269</v>
      </c>
      <c r="F6" s="10">
        <v>0.02</v>
      </c>
      <c r="G6" s="36">
        <f>F6*G2</f>
        <v>200000</v>
      </c>
      <c r="H6">
        <v>43</v>
      </c>
      <c r="I6">
        <v>35</v>
      </c>
      <c r="J6">
        <f t="shared" si="0"/>
        <v>2</v>
      </c>
      <c r="K6" s="35">
        <f t="shared" si="1"/>
        <v>400000</v>
      </c>
      <c r="L6">
        <f t="shared" si="2"/>
        <v>75</v>
      </c>
      <c r="M6" s="6">
        <f t="shared" si="3"/>
        <v>5333.333333333333</v>
      </c>
      <c r="N6" s="6">
        <f>(K6/(1+'Autres hypothèses'!$D$5))*('Autres hypothèses'!$D$5/(((1+'Autres hypothèses'!$D$5)^L6-1)))</f>
        <v>3570.7279657819595</v>
      </c>
      <c r="O6">
        <f>O2+H6</f>
        <v>2008</v>
      </c>
      <c r="P6">
        <f t="shared" si="4"/>
        <v>14</v>
      </c>
      <c r="Q6" s="29">
        <f t="shared" si="5"/>
        <v>0.4</v>
      </c>
      <c r="R6" s="3"/>
      <c r="S6" s="3"/>
    </row>
    <row r="7" spans="1:19" x14ac:dyDescent="0.25">
      <c r="A7" t="s">
        <v>1270</v>
      </c>
      <c r="B7" t="s">
        <v>439</v>
      </c>
      <c r="C7" t="s">
        <v>440</v>
      </c>
      <c r="D7" t="s">
        <v>441</v>
      </c>
      <c r="E7" t="s">
        <v>1271</v>
      </c>
      <c r="F7" s="10">
        <v>0.08</v>
      </c>
      <c r="G7" s="36">
        <f>F7*G2</f>
        <v>800000</v>
      </c>
      <c r="H7">
        <v>25</v>
      </c>
      <c r="I7">
        <v>20</v>
      </c>
      <c r="J7">
        <f t="shared" si="0"/>
        <v>3</v>
      </c>
      <c r="K7" s="35">
        <f t="shared" si="1"/>
        <v>2400000</v>
      </c>
      <c r="L7">
        <f t="shared" si="2"/>
        <v>75</v>
      </c>
      <c r="M7" s="6">
        <f t="shared" si="3"/>
        <v>32000</v>
      </c>
      <c r="N7" s="6">
        <f>(K7/(1+'Autres hypothèses'!$D$5))*('Autres hypothèses'!$D$5/(((1+'Autres hypothèses'!$D$5)^L7-1)))</f>
        <v>21424.367794691756</v>
      </c>
      <c r="O7">
        <f>O2+H7+H7</f>
        <v>2015</v>
      </c>
      <c r="P7">
        <f t="shared" si="4"/>
        <v>7</v>
      </c>
      <c r="Q7" s="29">
        <f t="shared" si="5"/>
        <v>0.35</v>
      </c>
      <c r="R7" s="3"/>
      <c r="S7" s="3"/>
    </row>
    <row r="8" spans="1:19" x14ac:dyDescent="0.25">
      <c r="A8" t="s">
        <v>1272</v>
      </c>
      <c r="B8" t="s">
        <v>442</v>
      </c>
      <c r="C8" t="s">
        <v>443</v>
      </c>
      <c r="D8" t="s">
        <v>444</v>
      </c>
      <c r="E8" t="s">
        <v>1273</v>
      </c>
      <c r="F8" s="10">
        <v>0.03</v>
      </c>
      <c r="G8" s="36">
        <f>F8*G2</f>
        <v>300000</v>
      </c>
      <c r="H8">
        <v>25</v>
      </c>
      <c r="I8">
        <v>20</v>
      </c>
      <c r="J8">
        <f t="shared" si="0"/>
        <v>3</v>
      </c>
      <c r="K8" s="35">
        <f t="shared" si="1"/>
        <v>900000</v>
      </c>
      <c r="L8">
        <f t="shared" si="2"/>
        <v>75</v>
      </c>
      <c r="M8" s="6">
        <f t="shared" si="3"/>
        <v>12000</v>
      </c>
      <c r="N8" s="6">
        <f>(K8/(1+'Autres hypothèses'!$D$5))*('Autres hypothèses'!$D$5/(((1+'Autres hypothèses'!$D$5)^L8-1)))</f>
        <v>8034.137923009409</v>
      </c>
      <c r="O8">
        <f>O2+H8+H8</f>
        <v>2015</v>
      </c>
      <c r="P8">
        <f t="shared" si="4"/>
        <v>7</v>
      </c>
      <c r="Q8" s="29">
        <f t="shared" si="5"/>
        <v>0.35</v>
      </c>
      <c r="R8" s="3"/>
      <c r="S8" s="3"/>
    </row>
    <row r="9" spans="1:19" x14ac:dyDescent="0.25">
      <c r="A9" s="33" t="s">
        <v>1274</v>
      </c>
      <c r="B9" s="33"/>
      <c r="C9" s="33" t="s">
        <v>1275</v>
      </c>
      <c r="D9" s="33" t="s">
        <v>1276</v>
      </c>
      <c r="E9" s="33" t="s">
        <v>1277</v>
      </c>
      <c r="F9" s="33"/>
      <c r="G9" s="34">
        <v>7500000</v>
      </c>
      <c r="H9">
        <v>100</v>
      </c>
      <c r="I9">
        <v>75</v>
      </c>
      <c r="J9">
        <f t="shared" si="0"/>
        <v>1</v>
      </c>
      <c r="K9" s="35">
        <f>G9*J9</f>
        <v>7500000</v>
      </c>
      <c r="L9">
        <f t="shared" si="2"/>
        <v>75</v>
      </c>
      <c r="M9" s="6">
        <f t="shared" ref="M9:M72" si="6">G9/I9</f>
        <v>100000</v>
      </c>
      <c r="N9" s="6">
        <f>(K9/(1+'Autres hypothèses'!$D$5))*('Autres hypothèses'!$D$5/(((1+'Autres hypothèses'!$D$5)^L9-1)))</f>
        <v>66951.149358411742</v>
      </c>
      <c r="O9">
        <v>1972</v>
      </c>
      <c r="P9">
        <f t="shared" si="4"/>
        <v>50</v>
      </c>
      <c r="Q9" s="29">
        <f>P9/I9</f>
        <v>0.66666666666666663</v>
      </c>
      <c r="R9" s="3">
        <f t="shared" ref="R9:R65" si="7">Q9*G9</f>
        <v>5000000</v>
      </c>
      <c r="S9" s="3">
        <f>G9-R9</f>
        <v>2500000</v>
      </c>
    </row>
    <row r="10" spans="1:19" x14ac:dyDescent="0.25">
      <c r="A10" t="s">
        <v>1278</v>
      </c>
      <c r="B10" t="s">
        <v>1279</v>
      </c>
      <c r="C10" t="str">
        <f>$C$9&amp;" - "&amp;B10</f>
        <v>Poste de police - Toit</v>
      </c>
      <c r="D10" t="str">
        <f>A10&amp;".A"</f>
        <v>B0002.A</v>
      </c>
      <c r="E10" t="s">
        <v>1280</v>
      </c>
      <c r="F10" s="10">
        <v>7.0000000000000007E-2</v>
      </c>
      <c r="G10" s="36">
        <f>F10*G9</f>
        <v>525000</v>
      </c>
      <c r="H10">
        <v>25</v>
      </c>
      <c r="I10">
        <v>20</v>
      </c>
      <c r="J10">
        <f t="shared" si="0"/>
        <v>3</v>
      </c>
      <c r="K10" s="35">
        <f t="shared" si="1"/>
        <v>1575000</v>
      </c>
      <c r="L10">
        <f t="shared" si="2"/>
        <v>75</v>
      </c>
      <c r="M10" s="6">
        <f t="shared" si="6"/>
        <v>26250</v>
      </c>
      <c r="N10" s="6">
        <f>(K10/(1+'Autres hypothèses'!$D$5))*('Autres hypothèses'!$D$5/(((1+'Autres hypothèses'!$D$5)^L10-1)))</f>
        <v>14059.741365266465</v>
      </c>
      <c r="O10">
        <f>O9+H10+H10</f>
        <v>2022</v>
      </c>
      <c r="P10">
        <f t="shared" si="4"/>
        <v>0</v>
      </c>
      <c r="Q10" s="29">
        <f t="shared" ref="Q10:Q73" si="8">P10/I10</f>
        <v>0</v>
      </c>
      <c r="R10" s="3"/>
      <c r="S10" s="3"/>
    </row>
    <row r="11" spans="1:19" x14ac:dyDescent="0.25">
      <c r="A11" t="s">
        <v>1281</v>
      </c>
      <c r="B11" t="s">
        <v>1282</v>
      </c>
      <c r="C11" t="str">
        <f t="shared" ref="C11:C15" si="9">$C$9&amp;" - "&amp;B11</f>
        <v>Poste de police - Systèmes mécaniques</v>
      </c>
      <c r="D11" t="str">
        <f>A11&amp;".B"</f>
        <v>B0002.B</v>
      </c>
      <c r="E11" t="s">
        <v>1283</v>
      </c>
      <c r="F11" s="10">
        <v>0.16</v>
      </c>
      <c r="G11" s="36">
        <f>F11*G9</f>
        <v>1200000</v>
      </c>
      <c r="H11">
        <v>24</v>
      </c>
      <c r="I11">
        <v>20</v>
      </c>
      <c r="J11">
        <f t="shared" si="0"/>
        <v>3</v>
      </c>
      <c r="K11" s="35">
        <f t="shared" si="1"/>
        <v>3600000</v>
      </c>
      <c r="L11">
        <f t="shared" si="2"/>
        <v>75</v>
      </c>
      <c r="M11" s="6">
        <f t="shared" si="6"/>
        <v>60000</v>
      </c>
      <c r="N11" s="6">
        <f>(K11/(1+'Autres hypothèses'!$D$5))*('Autres hypothèses'!$D$5/(((1+'Autres hypothèses'!$D$5)^L11-1)))</f>
        <v>32136.551692037636</v>
      </c>
      <c r="O11">
        <f>O9+H11+H11</f>
        <v>2020</v>
      </c>
      <c r="P11">
        <f t="shared" si="4"/>
        <v>2</v>
      </c>
      <c r="Q11" s="29">
        <f t="shared" si="8"/>
        <v>0.1</v>
      </c>
      <c r="R11" s="3"/>
      <c r="S11" s="3"/>
    </row>
    <row r="12" spans="1:19" x14ac:dyDescent="0.25">
      <c r="A12" t="s">
        <v>1284</v>
      </c>
      <c r="B12" t="s">
        <v>1285</v>
      </c>
      <c r="C12" t="str">
        <f t="shared" si="9"/>
        <v>Police Station - Windows</v>
      </c>
      <c r="D12" t="str">
        <f>A12&amp;".C"</f>
        <v>B0002.C</v>
      </c>
      <c r="E12" t="s">
        <v>1286</v>
      </c>
      <c r="F12" s="10">
        <v>0.02</v>
      </c>
      <c r="G12" s="36">
        <f>F12*G9</f>
        <v>150000</v>
      </c>
      <c r="H12">
        <v>50</v>
      </c>
      <c r="I12">
        <v>40</v>
      </c>
      <c r="J12">
        <f t="shared" si="0"/>
        <v>1</v>
      </c>
      <c r="K12" s="35">
        <f t="shared" si="1"/>
        <v>150000</v>
      </c>
      <c r="L12">
        <f t="shared" si="2"/>
        <v>75</v>
      </c>
      <c r="M12" s="6">
        <f t="shared" si="6"/>
        <v>3750</v>
      </c>
      <c r="N12" s="6">
        <f>(K12/(1+'Autres hypothèses'!$D$5))*('Autres hypothèses'!$D$5/(((1+'Autres hypothèses'!$D$5)^L12-1)))</f>
        <v>1339.0229871682347</v>
      </c>
      <c r="O12">
        <f>O9+H12</f>
        <v>2022</v>
      </c>
      <c r="P12">
        <f t="shared" si="4"/>
        <v>0</v>
      </c>
      <c r="Q12" s="29">
        <f t="shared" si="8"/>
        <v>0</v>
      </c>
      <c r="R12" s="3"/>
      <c r="S12" s="3"/>
    </row>
    <row r="13" spans="1:19" x14ac:dyDescent="0.25">
      <c r="A13" t="s">
        <v>1287</v>
      </c>
      <c r="B13" t="s">
        <v>1288</v>
      </c>
      <c r="C13" t="str">
        <f t="shared" si="9"/>
        <v>Police Station - Doors</v>
      </c>
      <c r="D13" t="str">
        <f>A13&amp;".D"</f>
        <v>B0002.D</v>
      </c>
      <c r="E13" t="s">
        <v>1289</v>
      </c>
      <c r="F13" s="10">
        <v>0.02</v>
      </c>
      <c r="G13" s="36">
        <f>F13*G9</f>
        <v>150000</v>
      </c>
      <c r="H13">
        <v>43</v>
      </c>
      <c r="I13">
        <v>35</v>
      </c>
      <c r="J13">
        <f t="shared" si="0"/>
        <v>2</v>
      </c>
      <c r="K13" s="35">
        <f t="shared" si="1"/>
        <v>300000</v>
      </c>
      <c r="L13">
        <f t="shared" si="2"/>
        <v>75</v>
      </c>
      <c r="M13" s="6">
        <f t="shared" si="6"/>
        <v>4285.7142857142853</v>
      </c>
      <c r="N13" s="6">
        <f>(K13/(1+'Autres hypothèses'!$D$5))*('Autres hypothèses'!$D$5/(((1+'Autres hypothèses'!$D$5)^L13-1)))</f>
        <v>2678.0459743364695</v>
      </c>
      <c r="O13">
        <f>O9+H13</f>
        <v>2015</v>
      </c>
      <c r="P13">
        <f t="shared" si="4"/>
        <v>7</v>
      </c>
      <c r="Q13" s="29">
        <f t="shared" si="8"/>
        <v>0.2</v>
      </c>
      <c r="R13" s="3"/>
      <c r="S13" s="3"/>
    </row>
    <row r="14" spans="1:19" x14ac:dyDescent="0.25">
      <c r="A14" t="s">
        <v>1290</v>
      </c>
      <c r="B14" t="s">
        <v>1291</v>
      </c>
      <c r="C14" t="str">
        <f t="shared" si="9"/>
        <v>Police Station - Electrical</v>
      </c>
      <c r="D14" t="str">
        <f>A14&amp;".E"</f>
        <v>B0002.E</v>
      </c>
      <c r="E14" t="s">
        <v>1292</v>
      </c>
      <c r="F14" s="10">
        <v>0.08</v>
      </c>
      <c r="G14" s="36">
        <f>F14*G9</f>
        <v>600000</v>
      </c>
      <c r="H14">
        <v>25</v>
      </c>
      <c r="I14">
        <v>20</v>
      </c>
      <c r="J14">
        <f t="shared" si="0"/>
        <v>3</v>
      </c>
      <c r="K14" s="35">
        <f t="shared" si="1"/>
        <v>1800000</v>
      </c>
      <c r="L14">
        <f t="shared" si="2"/>
        <v>75</v>
      </c>
      <c r="M14" s="6">
        <f t="shared" si="6"/>
        <v>30000</v>
      </c>
      <c r="N14" s="6">
        <f>(K14/(1+'Autres hypothèses'!$D$5))*('Autres hypothèses'!$D$5/(((1+'Autres hypothèses'!$D$5)^L14-1)))</f>
        <v>16068.275846018818</v>
      </c>
      <c r="O14">
        <f>O9+H14+H14</f>
        <v>2022</v>
      </c>
      <c r="P14">
        <f t="shared" si="4"/>
        <v>0</v>
      </c>
      <c r="Q14" s="29">
        <f t="shared" si="8"/>
        <v>0</v>
      </c>
      <c r="R14" s="3"/>
      <c r="S14" s="3"/>
    </row>
    <row r="15" spans="1:19" x14ac:dyDescent="0.25">
      <c r="A15" t="s">
        <v>1293</v>
      </c>
      <c r="B15" t="s">
        <v>1294</v>
      </c>
      <c r="C15" t="str">
        <f t="shared" si="9"/>
        <v>Police Station - Floor Coverings</v>
      </c>
      <c r="D15" t="str">
        <f>A15&amp;".F"</f>
        <v>B0002.F</v>
      </c>
      <c r="E15" t="s">
        <v>1295</v>
      </c>
      <c r="F15" s="10">
        <v>0.03</v>
      </c>
      <c r="G15" s="36">
        <f>F15*G9</f>
        <v>225000</v>
      </c>
      <c r="H15">
        <v>25</v>
      </c>
      <c r="I15">
        <v>20</v>
      </c>
      <c r="J15">
        <f t="shared" si="0"/>
        <v>3</v>
      </c>
      <c r="K15" s="35">
        <f t="shared" si="1"/>
        <v>675000</v>
      </c>
      <c r="L15">
        <f t="shared" si="2"/>
        <v>75</v>
      </c>
      <c r="M15" s="6">
        <f t="shared" si="6"/>
        <v>11250</v>
      </c>
      <c r="N15" s="6">
        <f>(K15/(1+'Autres hypothèses'!$D$5))*('Autres hypothèses'!$D$5/(((1+'Autres hypothèses'!$D$5)^L15-1)))</f>
        <v>6025.6034422570565</v>
      </c>
      <c r="O15">
        <f>O9+H15+H15</f>
        <v>2022</v>
      </c>
      <c r="P15">
        <f t="shared" si="4"/>
        <v>0</v>
      </c>
      <c r="Q15" s="29">
        <f t="shared" si="8"/>
        <v>0</v>
      </c>
      <c r="R15" s="3"/>
      <c r="S15" s="3"/>
    </row>
    <row r="16" spans="1:19" x14ac:dyDescent="0.25">
      <c r="A16" s="33" t="s">
        <v>1296</v>
      </c>
      <c r="B16" s="33"/>
      <c r="C16" s="33" t="s">
        <v>1297</v>
      </c>
      <c r="D16" s="33" t="s">
        <v>1298</v>
      </c>
      <c r="E16" s="33" t="s">
        <v>1299</v>
      </c>
      <c r="F16" s="33"/>
      <c r="G16" s="34">
        <v>8000000</v>
      </c>
      <c r="H16">
        <v>100</v>
      </c>
      <c r="I16">
        <v>75</v>
      </c>
      <c r="J16">
        <f t="shared" si="0"/>
        <v>1</v>
      </c>
      <c r="K16" s="35">
        <f t="shared" si="1"/>
        <v>8000000</v>
      </c>
      <c r="L16">
        <f t="shared" si="2"/>
        <v>75</v>
      </c>
      <c r="M16" s="6">
        <f t="shared" si="6"/>
        <v>106666.66666666667</v>
      </c>
      <c r="N16" s="6">
        <f>(K16/(1+'Autres hypothèses'!$D$5))*('Autres hypothèses'!$D$5/(((1+'Autres hypothèses'!$D$5)^L16-1)))</f>
        <v>71414.559315639184</v>
      </c>
      <c r="O16">
        <v>1970</v>
      </c>
      <c r="P16">
        <f t="shared" si="4"/>
        <v>52</v>
      </c>
      <c r="Q16" s="29">
        <f t="shared" si="8"/>
        <v>0.69333333333333336</v>
      </c>
      <c r="R16" s="3">
        <f t="shared" si="7"/>
        <v>5546666.666666667</v>
      </c>
      <c r="S16" s="3">
        <f t="shared" ref="S16:S72" si="10">G16-R16</f>
        <v>2453333.333333333</v>
      </c>
    </row>
    <row r="17" spans="1:19" x14ac:dyDescent="0.25">
      <c r="A17" t="s">
        <v>1300</v>
      </c>
      <c r="B17" t="s">
        <v>1301</v>
      </c>
      <c r="C17" t="str">
        <f>$C$16&amp;" - "&amp;B17</f>
        <v>Caserne de pompiers - Toit</v>
      </c>
      <c r="D17" t="str">
        <f>A17&amp;".A"</f>
        <v>B0003.A</v>
      </c>
      <c r="E17" t="s">
        <v>1302</v>
      </c>
      <c r="F17" s="10">
        <v>7.0000000000000007E-2</v>
      </c>
      <c r="G17" s="36">
        <f>F17*G16</f>
        <v>560000</v>
      </c>
      <c r="H17">
        <v>25</v>
      </c>
      <c r="I17">
        <v>20</v>
      </c>
      <c r="J17">
        <f t="shared" si="0"/>
        <v>3</v>
      </c>
      <c r="K17" s="35">
        <f t="shared" si="1"/>
        <v>1680000</v>
      </c>
      <c r="L17">
        <f t="shared" si="2"/>
        <v>75</v>
      </c>
      <c r="M17" s="6">
        <f t="shared" si="6"/>
        <v>28000</v>
      </c>
      <c r="N17" s="6">
        <f>(K17/(1+'Autres hypothèses'!$D$5))*('Autres hypothèses'!$D$5/(((1+'Autres hypothèses'!$D$5)^L17-1)))</f>
        <v>14997.05745628423</v>
      </c>
      <c r="O17">
        <f>O16+H17+H17</f>
        <v>2020</v>
      </c>
      <c r="P17">
        <f t="shared" si="4"/>
        <v>2</v>
      </c>
      <c r="Q17" s="29">
        <f t="shared" si="8"/>
        <v>0.1</v>
      </c>
      <c r="R17" s="3"/>
      <c r="S17" s="3"/>
    </row>
    <row r="18" spans="1:19" x14ac:dyDescent="0.25">
      <c r="A18" t="s">
        <v>1303</v>
      </c>
      <c r="B18" t="s">
        <v>1304</v>
      </c>
      <c r="C18" t="str">
        <f t="shared" ref="C18:C22" si="11">$C$16&amp;" - "&amp;B18</f>
        <v>Caserne de pompiers - Systèmes mécaniques</v>
      </c>
      <c r="D18" t="str">
        <f>A18&amp;".B"</f>
        <v>B0003.B</v>
      </c>
      <c r="E18" t="s">
        <v>1305</v>
      </c>
      <c r="F18" s="10">
        <v>0.16</v>
      </c>
      <c r="G18" s="36">
        <f>F18*G16</f>
        <v>1280000</v>
      </c>
      <c r="H18">
        <v>24</v>
      </c>
      <c r="I18">
        <v>20</v>
      </c>
      <c r="J18">
        <f t="shared" si="0"/>
        <v>3</v>
      </c>
      <c r="K18" s="35">
        <f t="shared" si="1"/>
        <v>3840000</v>
      </c>
      <c r="L18">
        <f t="shared" si="2"/>
        <v>75</v>
      </c>
      <c r="M18" s="6">
        <f t="shared" si="6"/>
        <v>64000</v>
      </c>
      <c r="N18" s="6">
        <f>(K18/(1+'Autres hypothèses'!$D$5))*('Autres hypothèses'!$D$5/(((1+'Autres hypothèses'!$D$5)^L18-1)))</f>
        <v>34278.988471506811</v>
      </c>
      <c r="O18">
        <f>O16+H18+H18</f>
        <v>2018</v>
      </c>
      <c r="P18">
        <f t="shared" si="4"/>
        <v>4</v>
      </c>
      <c r="Q18" s="29">
        <f t="shared" si="8"/>
        <v>0.2</v>
      </c>
      <c r="R18" s="3"/>
      <c r="S18" s="3"/>
    </row>
    <row r="19" spans="1:19" x14ac:dyDescent="0.25">
      <c r="A19" t="s">
        <v>1306</v>
      </c>
      <c r="B19" t="s">
        <v>1307</v>
      </c>
      <c r="C19" t="str">
        <f t="shared" si="11"/>
        <v>Fire Station - Windows</v>
      </c>
      <c r="D19" t="str">
        <f>A19&amp;".C"</f>
        <v>B0003.C</v>
      </c>
      <c r="E19" t="s">
        <v>1308</v>
      </c>
      <c r="F19" s="10">
        <v>0.02</v>
      </c>
      <c r="G19" s="36">
        <f>F19*G16</f>
        <v>160000</v>
      </c>
      <c r="H19">
        <v>50</v>
      </c>
      <c r="I19">
        <v>40</v>
      </c>
      <c r="J19">
        <f t="shared" si="0"/>
        <v>1</v>
      </c>
      <c r="K19" s="35">
        <f t="shared" si="1"/>
        <v>160000</v>
      </c>
      <c r="L19">
        <f t="shared" si="2"/>
        <v>75</v>
      </c>
      <c r="M19" s="6">
        <f t="shared" si="6"/>
        <v>4000</v>
      </c>
      <c r="N19" s="6">
        <f>(K19/(1+'Autres hypothèses'!$D$5))*('Autres hypothèses'!$D$5/(((1+'Autres hypothèses'!$D$5)^L19-1)))</f>
        <v>1428.2911863127838</v>
      </c>
      <c r="O19">
        <f>O16+H19</f>
        <v>2020</v>
      </c>
      <c r="P19">
        <f t="shared" si="4"/>
        <v>2</v>
      </c>
      <c r="Q19" s="29">
        <f t="shared" si="8"/>
        <v>0.05</v>
      </c>
      <c r="R19" s="3"/>
      <c r="S19" s="3"/>
    </row>
    <row r="20" spans="1:19" x14ac:dyDescent="0.25">
      <c r="A20" t="s">
        <v>1309</v>
      </c>
      <c r="B20" t="s">
        <v>1310</v>
      </c>
      <c r="C20" t="str">
        <f t="shared" si="11"/>
        <v>Fire Station - Doors</v>
      </c>
      <c r="D20" t="str">
        <f>A20&amp;".D"</f>
        <v>B0003.D</v>
      </c>
      <c r="E20" t="s">
        <v>1311</v>
      </c>
      <c r="F20" s="10">
        <v>0.02</v>
      </c>
      <c r="G20" s="36">
        <f>F20*G16</f>
        <v>160000</v>
      </c>
      <c r="H20">
        <v>43</v>
      </c>
      <c r="I20">
        <v>35</v>
      </c>
      <c r="J20">
        <f t="shared" si="0"/>
        <v>2</v>
      </c>
      <c r="K20" s="35">
        <f t="shared" si="1"/>
        <v>320000</v>
      </c>
      <c r="L20">
        <f t="shared" si="2"/>
        <v>75</v>
      </c>
      <c r="M20" s="6">
        <f t="shared" si="6"/>
        <v>4571.4285714285716</v>
      </c>
      <c r="N20" s="6">
        <f>(K20/(1+'Autres hypothèses'!$D$5))*('Autres hypothèses'!$D$5/(((1+'Autres hypothèses'!$D$5)^L20-1)))</f>
        <v>2856.5823726255676</v>
      </c>
      <c r="O20">
        <f>O16+H20</f>
        <v>2013</v>
      </c>
      <c r="P20">
        <f t="shared" si="4"/>
        <v>9</v>
      </c>
      <c r="Q20" s="29">
        <f t="shared" si="8"/>
        <v>0.25714285714285712</v>
      </c>
      <c r="R20" s="3"/>
      <c r="S20" s="3"/>
    </row>
    <row r="21" spans="1:19" x14ac:dyDescent="0.25">
      <c r="A21" t="s">
        <v>1312</v>
      </c>
      <c r="B21" t="s">
        <v>1313</v>
      </c>
      <c r="C21" t="str">
        <f t="shared" si="11"/>
        <v>Fire Station - Electrical</v>
      </c>
      <c r="D21" t="str">
        <f>A21&amp;".E"</f>
        <v>B0003.E</v>
      </c>
      <c r="E21" t="s">
        <v>1314</v>
      </c>
      <c r="F21" s="10">
        <v>0.08</v>
      </c>
      <c r="G21" s="36">
        <f>F21*G16</f>
        <v>640000</v>
      </c>
      <c r="H21">
        <v>25</v>
      </c>
      <c r="I21">
        <v>20</v>
      </c>
      <c r="J21">
        <f t="shared" si="0"/>
        <v>3</v>
      </c>
      <c r="K21" s="35">
        <f t="shared" si="1"/>
        <v>1920000</v>
      </c>
      <c r="L21">
        <f t="shared" si="2"/>
        <v>75</v>
      </c>
      <c r="M21" s="6">
        <f t="shared" si="6"/>
        <v>32000</v>
      </c>
      <c r="N21" s="6">
        <f>(K21/(1+'Autres hypothèses'!$D$5))*('Autres hypothèses'!$D$5/(((1+'Autres hypothèses'!$D$5)^L21-1)))</f>
        <v>17139.494235753406</v>
      </c>
      <c r="O21">
        <f>O16+H21+H21</f>
        <v>2020</v>
      </c>
      <c r="P21">
        <f t="shared" si="4"/>
        <v>2</v>
      </c>
      <c r="Q21" s="29">
        <f t="shared" si="8"/>
        <v>0.1</v>
      </c>
      <c r="R21" s="3"/>
      <c r="S21" s="3"/>
    </row>
    <row r="22" spans="1:19" x14ac:dyDescent="0.25">
      <c r="A22" t="s">
        <v>1315</v>
      </c>
      <c r="B22" t="s">
        <v>1316</v>
      </c>
      <c r="C22" t="str">
        <f t="shared" si="11"/>
        <v>Fire Station - Floor Coverings</v>
      </c>
      <c r="D22" t="str">
        <f>A22&amp;".F"</f>
        <v>B0003.F</v>
      </c>
      <c r="E22" t="s">
        <v>1317</v>
      </c>
      <c r="F22" s="10">
        <v>0.03</v>
      </c>
      <c r="G22" s="36">
        <f>F22*G16</f>
        <v>240000</v>
      </c>
      <c r="H22">
        <v>25</v>
      </c>
      <c r="I22">
        <v>20</v>
      </c>
      <c r="J22">
        <f t="shared" si="0"/>
        <v>3</v>
      </c>
      <c r="K22" s="35">
        <f t="shared" si="1"/>
        <v>720000</v>
      </c>
      <c r="L22">
        <f t="shared" si="2"/>
        <v>75</v>
      </c>
      <c r="M22" s="6">
        <f t="shared" si="6"/>
        <v>12000</v>
      </c>
      <c r="N22" s="6">
        <f>(K22/(1+'Autres hypothèses'!$D$5))*('Autres hypothèses'!$D$5/(((1+'Autres hypothèses'!$D$5)^L22-1)))</f>
        <v>6427.3103384075275</v>
      </c>
      <c r="O22">
        <f>O16+H22+H22</f>
        <v>2020</v>
      </c>
      <c r="P22">
        <f t="shared" si="4"/>
        <v>2</v>
      </c>
      <c r="Q22" s="29">
        <f t="shared" si="8"/>
        <v>0.1</v>
      </c>
      <c r="R22" s="3"/>
      <c r="S22" s="3"/>
    </row>
    <row r="23" spans="1:19" x14ac:dyDescent="0.25">
      <c r="A23" s="33" t="s">
        <v>1318</v>
      </c>
      <c r="B23" s="33"/>
      <c r="C23" s="33" t="s">
        <v>1319</v>
      </c>
      <c r="D23" s="33" t="s">
        <v>1320</v>
      </c>
      <c r="E23" s="33" t="s">
        <v>1321</v>
      </c>
      <c r="F23" s="33"/>
      <c r="G23" s="34">
        <v>12000000</v>
      </c>
      <c r="H23">
        <v>100</v>
      </c>
      <c r="I23">
        <v>75</v>
      </c>
      <c r="J23">
        <f t="shared" si="0"/>
        <v>1</v>
      </c>
      <c r="K23" s="35">
        <f t="shared" si="1"/>
        <v>12000000</v>
      </c>
      <c r="L23">
        <f t="shared" si="2"/>
        <v>75</v>
      </c>
      <c r="M23" s="6">
        <f t="shared" si="6"/>
        <v>160000</v>
      </c>
      <c r="N23" s="6">
        <f>(K23/(1+'Autres hypothèses'!$D$5))*('Autres hypothèses'!$D$5/(((1+'Autres hypothèses'!$D$5)^L23-1)))</f>
        <v>107121.83897345878</v>
      </c>
      <c r="O23">
        <v>1983</v>
      </c>
      <c r="P23">
        <f t="shared" si="4"/>
        <v>39</v>
      </c>
      <c r="Q23" s="29">
        <f t="shared" si="8"/>
        <v>0.52</v>
      </c>
      <c r="R23" s="3">
        <f t="shared" si="7"/>
        <v>6240000</v>
      </c>
      <c r="S23" s="3">
        <f t="shared" si="10"/>
        <v>5760000</v>
      </c>
    </row>
    <row r="24" spans="1:19" x14ac:dyDescent="0.25">
      <c r="A24" t="s">
        <v>1322</v>
      </c>
      <c r="B24" t="s">
        <v>1323</v>
      </c>
      <c r="C24" t="str">
        <f>$C$23&amp;" - "&amp;B24</f>
        <v>Centre de loisirs - Toit</v>
      </c>
      <c r="D24" t="str">
        <f>A24&amp;".A"</f>
        <v>B0004.A</v>
      </c>
      <c r="E24" t="s">
        <v>1324</v>
      </c>
      <c r="F24" s="10">
        <v>7.0000000000000007E-2</v>
      </c>
      <c r="G24" s="36">
        <f>F24*G23</f>
        <v>840000.00000000012</v>
      </c>
      <c r="H24">
        <v>25</v>
      </c>
      <c r="I24">
        <v>20</v>
      </c>
      <c r="J24">
        <f t="shared" si="0"/>
        <v>3</v>
      </c>
      <c r="K24" s="35">
        <f t="shared" si="1"/>
        <v>2520000.0000000005</v>
      </c>
      <c r="L24">
        <f t="shared" si="2"/>
        <v>75</v>
      </c>
      <c r="M24" s="6">
        <f t="shared" si="6"/>
        <v>42000.000000000007</v>
      </c>
      <c r="N24" s="6">
        <f>(K24/(1+'Autres hypothèses'!$D$5))*('Autres hypothèses'!$D$5/(((1+'Autres hypothèses'!$D$5)^L24-1)))</f>
        <v>22495.586184426349</v>
      </c>
      <c r="O24">
        <f>O23+H24</f>
        <v>2008</v>
      </c>
      <c r="P24">
        <f t="shared" si="4"/>
        <v>14</v>
      </c>
      <c r="Q24" s="29">
        <f t="shared" si="8"/>
        <v>0.7</v>
      </c>
      <c r="R24" s="3"/>
      <c r="S24" s="3"/>
    </row>
    <row r="25" spans="1:19" x14ac:dyDescent="0.25">
      <c r="A25" t="s">
        <v>1325</v>
      </c>
      <c r="B25" t="s">
        <v>1326</v>
      </c>
      <c r="C25" t="str">
        <f>$C$23&amp;" - "&amp;B25</f>
        <v>Centre de loisirs - Systèmes mécaniques</v>
      </c>
      <c r="D25" t="str">
        <f>A25&amp;".B"</f>
        <v>B0004.B</v>
      </c>
      <c r="E25" t="s">
        <v>1327</v>
      </c>
      <c r="F25" s="10">
        <v>0.16</v>
      </c>
      <c r="G25" s="36">
        <f>F25*G23</f>
        <v>1920000</v>
      </c>
      <c r="H25">
        <v>24</v>
      </c>
      <c r="I25">
        <v>20</v>
      </c>
      <c r="J25">
        <f t="shared" si="0"/>
        <v>3</v>
      </c>
      <c r="K25" s="35">
        <f t="shared" si="1"/>
        <v>5760000</v>
      </c>
      <c r="L25">
        <f t="shared" si="2"/>
        <v>75</v>
      </c>
      <c r="M25" s="6">
        <f t="shared" si="6"/>
        <v>96000</v>
      </c>
      <c r="N25" s="6">
        <f>(K25/(1+'Autres hypothèses'!$D$5))*('Autres hypothèses'!$D$5/(((1+'Autres hypothèses'!$D$5)^L25-1)))</f>
        <v>51418.48270726022</v>
      </c>
      <c r="O25">
        <f>O23+H25</f>
        <v>2007</v>
      </c>
      <c r="P25">
        <f t="shared" si="4"/>
        <v>15</v>
      </c>
      <c r="Q25" s="29">
        <f t="shared" si="8"/>
        <v>0.75</v>
      </c>
      <c r="R25" s="3"/>
      <c r="S25" s="3"/>
    </row>
    <row r="26" spans="1:19" x14ac:dyDescent="0.25">
      <c r="A26" t="s">
        <v>1328</v>
      </c>
      <c r="B26" t="s">
        <v>1329</v>
      </c>
      <c r="C26" t="str">
        <f t="shared" ref="C26:C29" si="12">$C$23&amp;" - "&amp;B26</f>
        <v>Centre de loisirs - Fenêtres</v>
      </c>
      <c r="D26" t="str">
        <f>A26&amp;".C"</f>
        <v>B0004.C</v>
      </c>
      <c r="E26" t="s">
        <v>1330</v>
      </c>
      <c r="F26" s="10">
        <v>0.02</v>
      </c>
      <c r="G26" s="36">
        <f>F26*G23</f>
        <v>240000</v>
      </c>
      <c r="H26">
        <v>50</v>
      </c>
      <c r="I26">
        <v>40</v>
      </c>
      <c r="J26">
        <f t="shared" si="0"/>
        <v>1</v>
      </c>
      <c r="K26" s="35">
        <f t="shared" si="1"/>
        <v>240000</v>
      </c>
      <c r="L26">
        <f t="shared" si="2"/>
        <v>75</v>
      </c>
      <c r="M26" s="6">
        <f t="shared" si="6"/>
        <v>6000</v>
      </c>
      <c r="N26" s="6">
        <f>(K26/(1+'Autres hypothèses'!$D$5))*('Autres hypothèses'!$D$5/(((1+'Autres hypothèses'!$D$5)^L26-1)))</f>
        <v>2142.4367794691757</v>
      </c>
      <c r="O26">
        <f>O23</f>
        <v>1983</v>
      </c>
      <c r="P26">
        <f t="shared" si="4"/>
        <v>39</v>
      </c>
      <c r="Q26" s="29">
        <f t="shared" si="8"/>
        <v>0.97499999999999998</v>
      </c>
      <c r="R26" s="3"/>
      <c r="S26" s="3"/>
    </row>
    <row r="27" spans="1:19" x14ac:dyDescent="0.25">
      <c r="A27" t="s">
        <v>1331</v>
      </c>
      <c r="B27" t="s">
        <v>1332</v>
      </c>
      <c r="C27" t="str">
        <f t="shared" si="12"/>
        <v>Recreation Centre - Doors</v>
      </c>
      <c r="D27" t="str">
        <f>A27&amp;".D"</f>
        <v>B0004.D</v>
      </c>
      <c r="E27" t="s">
        <v>1333</v>
      </c>
      <c r="F27" s="10">
        <v>0.02</v>
      </c>
      <c r="G27" s="36">
        <f>F27*G23</f>
        <v>240000</v>
      </c>
      <c r="H27">
        <v>43</v>
      </c>
      <c r="I27">
        <v>35</v>
      </c>
      <c r="J27">
        <f t="shared" si="0"/>
        <v>2</v>
      </c>
      <c r="K27" s="35">
        <f t="shared" si="1"/>
        <v>480000</v>
      </c>
      <c r="L27">
        <f t="shared" si="2"/>
        <v>75</v>
      </c>
      <c r="M27" s="6">
        <f t="shared" si="6"/>
        <v>6857.1428571428569</v>
      </c>
      <c r="N27" s="6">
        <f>(K27/(1+'Autres hypothèses'!$D$5))*('Autres hypothèses'!$D$5/(((1+'Autres hypothèses'!$D$5)^L27-1)))</f>
        <v>4284.8735589383514</v>
      </c>
      <c r="O27">
        <f>O23</f>
        <v>1983</v>
      </c>
      <c r="P27">
        <f t="shared" si="4"/>
        <v>39</v>
      </c>
      <c r="Q27" s="29">
        <f t="shared" si="8"/>
        <v>1.1142857142857143</v>
      </c>
      <c r="R27" s="3"/>
      <c r="S27" s="3"/>
    </row>
    <row r="28" spans="1:19" x14ac:dyDescent="0.25">
      <c r="A28" t="s">
        <v>1334</v>
      </c>
      <c r="B28" t="s">
        <v>1335</v>
      </c>
      <c r="C28" t="str">
        <f t="shared" si="12"/>
        <v>Recreation Centre - Electrical</v>
      </c>
      <c r="D28" t="str">
        <f>A28&amp;".E"</f>
        <v>B0004.E</v>
      </c>
      <c r="E28" t="s">
        <v>1336</v>
      </c>
      <c r="F28" s="10">
        <v>0.08</v>
      </c>
      <c r="G28" s="36">
        <f>F28*G23</f>
        <v>960000</v>
      </c>
      <c r="H28">
        <v>25</v>
      </c>
      <c r="I28">
        <v>20</v>
      </c>
      <c r="J28">
        <f t="shared" si="0"/>
        <v>3</v>
      </c>
      <c r="K28" s="35">
        <f t="shared" si="1"/>
        <v>2880000</v>
      </c>
      <c r="L28">
        <f t="shared" si="2"/>
        <v>75</v>
      </c>
      <c r="M28" s="6">
        <f t="shared" si="6"/>
        <v>48000</v>
      </c>
      <c r="N28" s="6">
        <f>(K28/(1+'Autres hypothèses'!$D$5))*('Autres hypothèses'!$D$5/(((1+'Autres hypothèses'!$D$5)^L28-1)))</f>
        <v>25709.24135363011</v>
      </c>
      <c r="O28">
        <f>O23+H28</f>
        <v>2008</v>
      </c>
      <c r="P28">
        <f t="shared" si="4"/>
        <v>14</v>
      </c>
      <c r="Q28" s="29">
        <f t="shared" si="8"/>
        <v>0.7</v>
      </c>
      <c r="R28" s="3"/>
      <c r="S28" s="3"/>
    </row>
    <row r="29" spans="1:19" x14ac:dyDescent="0.25">
      <c r="A29" t="s">
        <v>1337</v>
      </c>
      <c r="B29" t="s">
        <v>1338</v>
      </c>
      <c r="C29" t="str">
        <f t="shared" si="12"/>
        <v>Recreation Centre - Floor Coverings</v>
      </c>
      <c r="D29" t="str">
        <f>A29&amp;".F"</f>
        <v>B0004.F</v>
      </c>
      <c r="E29" t="s">
        <v>1339</v>
      </c>
      <c r="F29" s="10">
        <v>0.03</v>
      </c>
      <c r="G29" s="36">
        <f>F29*G23</f>
        <v>360000</v>
      </c>
      <c r="H29">
        <v>25</v>
      </c>
      <c r="I29">
        <v>20</v>
      </c>
      <c r="J29">
        <f t="shared" si="0"/>
        <v>3</v>
      </c>
      <c r="K29" s="35">
        <f t="shared" si="1"/>
        <v>1080000</v>
      </c>
      <c r="L29">
        <f t="shared" si="2"/>
        <v>75</v>
      </c>
      <c r="M29" s="6">
        <f t="shared" si="6"/>
        <v>18000</v>
      </c>
      <c r="N29" s="6">
        <f>(K29/(1+'Autres hypothèses'!$D$5))*('Autres hypothèses'!$D$5/(((1+'Autres hypothèses'!$D$5)^L29-1)))</f>
        <v>9640.9655076112904</v>
      </c>
      <c r="O29">
        <f>O23+H29</f>
        <v>2008</v>
      </c>
      <c r="P29">
        <f t="shared" si="4"/>
        <v>14</v>
      </c>
      <c r="Q29" s="29">
        <f t="shared" si="8"/>
        <v>0.7</v>
      </c>
      <c r="R29" s="3"/>
      <c r="S29" s="3"/>
    </row>
    <row r="30" spans="1:19" x14ac:dyDescent="0.25">
      <c r="A30" s="33" t="s">
        <v>1340</v>
      </c>
      <c r="B30" s="33"/>
      <c r="C30" s="33" t="s">
        <v>1341</v>
      </c>
      <c r="D30" s="33"/>
      <c r="E30" s="33" t="s">
        <v>1342</v>
      </c>
      <c r="F30" s="33"/>
      <c r="G30" s="34">
        <v>7500000</v>
      </c>
      <c r="H30">
        <v>100</v>
      </c>
      <c r="I30">
        <v>75</v>
      </c>
      <c r="J30">
        <f t="shared" si="0"/>
        <v>1</v>
      </c>
      <c r="K30" s="35">
        <f t="shared" si="1"/>
        <v>7500000</v>
      </c>
      <c r="L30">
        <f t="shared" si="2"/>
        <v>75</v>
      </c>
      <c r="M30" s="6">
        <f t="shared" si="6"/>
        <v>100000</v>
      </c>
      <c r="N30" s="6">
        <f>(K30/(1+'Autres hypothèses'!$D$5))*('Autres hypothèses'!$D$5/(((1+'Autres hypothèses'!$D$5)^L30-1)))</f>
        <v>66951.149358411742</v>
      </c>
      <c r="O30">
        <v>1979</v>
      </c>
      <c r="P30">
        <f t="shared" si="4"/>
        <v>43</v>
      </c>
      <c r="Q30" s="29">
        <f t="shared" si="8"/>
        <v>0.57333333333333336</v>
      </c>
      <c r="R30" s="3">
        <f t="shared" si="7"/>
        <v>4300000</v>
      </c>
      <c r="S30" s="3">
        <f t="shared" si="10"/>
        <v>3200000</v>
      </c>
    </row>
    <row r="31" spans="1:19" x14ac:dyDescent="0.25">
      <c r="A31" t="s">
        <v>1343</v>
      </c>
      <c r="B31" t="s">
        <v>1344</v>
      </c>
      <c r="C31" t="str">
        <f>$C$30&amp;" - "&amp;B31</f>
        <v>Bibliothèque - Toit</v>
      </c>
      <c r="D31" t="str">
        <f>A31&amp;".A"</f>
        <v>B0005.A</v>
      </c>
      <c r="E31" t="s">
        <v>1345</v>
      </c>
      <c r="F31" s="10">
        <v>7.0000000000000007E-2</v>
      </c>
      <c r="G31" s="36">
        <f>F31*G30</f>
        <v>525000</v>
      </c>
      <c r="H31">
        <v>25</v>
      </c>
      <c r="I31">
        <v>20</v>
      </c>
      <c r="J31">
        <f t="shared" si="0"/>
        <v>3</v>
      </c>
      <c r="K31" s="35">
        <f t="shared" si="1"/>
        <v>1575000</v>
      </c>
      <c r="L31">
        <f t="shared" si="2"/>
        <v>75</v>
      </c>
      <c r="M31" s="6">
        <f t="shared" si="6"/>
        <v>26250</v>
      </c>
      <c r="N31" s="6">
        <f>(K31/(1+'Autres hypothèses'!$D$5))*('Autres hypothèses'!$D$5/(((1+'Autres hypothèses'!$D$5)^L31-1)))</f>
        <v>14059.741365266465</v>
      </c>
      <c r="O31">
        <f>O30+H31</f>
        <v>2004</v>
      </c>
      <c r="P31">
        <f t="shared" si="4"/>
        <v>18</v>
      </c>
      <c r="Q31" s="29">
        <f t="shared" si="8"/>
        <v>0.9</v>
      </c>
      <c r="R31" s="3"/>
      <c r="S31" s="3"/>
    </row>
    <row r="32" spans="1:19" x14ac:dyDescent="0.25">
      <c r="A32" t="s">
        <v>1346</v>
      </c>
      <c r="B32" t="s">
        <v>1347</v>
      </c>
      <c r="C32" t="str">
        <f t="shared" ref="C32:C36" si="13">$C$30&amp;" - "&amp;B32</f>
        <v>Bibliothèque - Systèmes mécaniques</v>
      </c>
      <c r="D32" t="str">
        <f>A32&amp;".B"</f>
        <v>B0005.B</v>
      </c>
      <c r="E32" t="s">
        <v>1348</v>
      </c>
      <c r="F32" s="10">
        <v>0.16</v>
      </c>
      <c r="G32" s="36">
        <f>F32*G30</f>
        <v>1200000</v>
      </c>
      <c r="H32">
        <v>24</v>
      </c>
      <c r="I32">
        <v>20</v>
      </c>
      <c r="J32">
        <f t="shared" si="0"/>
        <v>3</v>
      </c>
      <c r="K32" s="35">
        <f t="shared" si="1"/>
        <v>3600000</v>
      </c>
      <c r="L32">
        <f t="shared" si="2"/>
        <v>75</v>
      </c>
      <c r="M32" s="6">
        <f t="shared" si="6"/>
        <v>60000</v>
      </c>
      <c r="N32" s="6">
        <f>(K32/(1+'Autres hypothèses'!$D$5))*('Autres hypothèses'!$D$5/(((1+'Autres hypothèses'!$D$5)^L32-1)))</f>
        <v>32136.551692037636</v>
      </c>
      <c r="O32">
        <f>O30+H32</f>
        <v>2003</v>
      </c>
      <c r="P32">
        <f t="shared" si="4"/>
        <v>19</v>
      </c>
      <c r="Q32" s="29">
        <f t="shared" si="8"/>
        <v>0.95</v>
      </c>
      <c r="R32" s="3"/>
      <c r="S32" s="3"/>
    </row>
    <row r="33" spans="1:19" x14ac:dyDescent="0.25">
      <c r="A33" t="s">
        <v>1349</v>
      </c>
      <c r="B33" t="s">
        <v>1350</v>
      </c>
      <c r="C33" t="str">
        <f t="shared" si="13"/>
        <v>Library - Windows</v>
      </c>
      <c r="D33" t="str">
        <f>A33&amp;".C"</f>
        <v>B0005.C</v>
      </c>
      <c r="E33" t="s">
        <v>1351</v>
      </c>
      <c r="F33" s="10">
        <v>0.02</v>
      </c>
      <c r="G33" s="36">
        <f>F33*G30</f>
        <v>150000</v>
      </c>
      <c r="H33">
        <v>50</v>
      </c>
      <c r="I33">
        <v>40</v>
      </c>
      <c r="J33">
        <f t="shared" si="0"/>
        <v>1</v>
      </c>
      <c r="K33" s="35">
        <f t="shared" si="1"/>
        <v>150000</v>
      </c>
      <c r="L33">
        <f t="shared" si="2"/>
        <v>75</v>
      </c>
      <c r="M33" s="6">
        <f t="shared" si="6"/>
        <v>3750</v>
      </c>
      <c r="N33" s="6">
        <f>(K33/(1+'Autres hypothèses'!$D$5))*('Autres hypothèses'!$D$5/(((1+'Autres hypothèses'!$D$5)^L33-1)))</f>
        <v>1339.0229871682347</v>
      </c>
      <c r="O33">
        <f>O30+I33</f>
        <v>2019</v>
      </c>
      <c r="P33">
        <f t="shared" si="4"/>
        <v>3</v>
      </c>
      <c r="Q33" s="29">
        <f t="shared" si="8"/>
        <v>7.4999999999999997E-2</v>
      </c>
      <c r="R33" s="3"/>
      <c r="S33" s="3"/>
    </row>
    <row r="34" spans="1:19" x14ac:dyDescent="0.25">
      <c r="A34" t="s">
        <v>1352</v>
      </c>
      <c r="B34" t="s">
        <v>1353</v>
      </c>
      <c r="C34" t="str">
        <f t="shared" si="13"/>
        <v>Library - Doors</v>
      </c>
      <c r="D34" t="str">
        <f>A34&amp;".D"</f>
        <v>B0005.D</v>
      </c>
      <c r="E34" t="s">
        <v>1354</v>
      </c>
      <c r="F34" s="10">
        <v>0.02</v>
      </c>
      <c r="G34" s="36">
        <f>F34*G30</f>
        <v>150000</v>
      </c>
      <c r="H34">
        <v>43</v>
      </c>
      <c r="I34">
        <v>35</v>
      </c>
      <c r="J34">
        <f t="shared" si="0"/>
        <v>2</v>
      </c>
      <c r="K34" s="35">
        <f t="shared" si="1"/>
        <v>300000</v>
      </c>
      <c r="L34">
        <f t="shared" si="2"/>
        <v>75</v>
      </c>
      <c r="M34" s="6">
        <f t="shared" si="6"/>
        <v>4285.7142857142853</v>
      </c>
      <c r="N34" s="6">
        <f>(K34/(1+'Autres hypothèses'!$D$5))*('Autres hypothèses'!$D$5/(((1+'Autres hypothèses'!$D$5)^L34-1)))</f>
        <v>2678.0459743364695</v>
      </c>
      <c r="O34">
        <f>O30+I34</f>
        <v>2014</v>
      </c>
      <c r="P34">
        <f t="shared" si="4"/>
        <v>8</v>
      </c>
      <c r="Q34" s="29">
        <f t="shared" si="8"/>
        <v>0.22857142857142856</v>
      </c>
      <c r="R34" s="3"/>
      <c r="S34" s="3"/>
    </row>
    <row r="35" spans="1:19" x14ac:dyDescent="0.25">
      <c r="A35" t="s">
        <v>1355</v>
      </c>
      <c r="B35" t="s">
        <v>1356</v>
      </c>
      <c r="C35" t="str">
        <f t="shared" si="13"/>
        <v>Library - Electrical</v>
      </c>
      <c r="D35" t="str">
        <f>A35&amp;".E"</f>
        <v>B0005.E</v>
      </c>
      <c r="E35" t="s">
        <v>1357</v>
      </c>
      <c r="F35" s="10">
        <v>0.08</v>
      </c>
      <c r="G35" s="36">
        <f>F35*G30</f>
        <v>600000</v>
      </c>
      <c r="H35">
        <v>25</v>
      </c>
      <c r="I35">
        <v>20</v>
      </c>
      <c r="J35">
        <f t="shared" si="0"/>
        <v>3</v>
      </c>
      <c r="K35" s="35">
        <f t="shared" si="1"/>
        <v>1800000</v>
      </c>
      <c r="L35">
        <f t="shared" si="2"/>
        <v>75</v>
      </c>
      <c r="M35" s="6">
        <f t="shared" si="6"/>
        <v>30000</v>
      </c>
      <c r="N35" s="6">
        <f>(K35/(1+'Autres hypothèses'!$D$5))*('Autres hypothèses'!$D$5/(((1+'Autres hypothèses'!$D$5)^L35-1)))</f>
        <v>16068.275846018818</v>
      </c>
      <c r="O35">
        <f>O30+H35</f>
        <v>2004</v>
      </c>
      <c r="P35">
        <f t="shared" si="4"/>
        <v>18</v>
      </c>
      <c r="Q35" s="29">
        <f t="shared" si="8"/>
        <v>0.9</v>
      </c>
      <c r="R35" s="3"/>
      <c r="S35" s="3"/>
    </row>
    <row r="36" spans="1:19" x14ac:dyDescent="0.25">
      <c r="A36" t="s">
        <v>1358</v>
      </c>
      <c r="B36" t="s">
        <v>1359</v>
      </c>
      <c r="C36" t="str">
        <f t="shared" si="13"/>
        <v>Library - Floor Coverings</v>
      </c>
      <c r="D36" t="str">
        <f>A36&amp;".F"</f>
        <v>B0005.F</v>
      </c>
      <c r="E36" t="s">
        <v>1360</v>
      </c>
      <c r="F36" s="10">
        <v>0.03</v>
      </c>
      <c r="G36" s="36">
        <f>F36*G30</f>
        <v>225000</v>
      </c>
      <c r="H36">
        <v>25</v>
      </c>
      <c r="I36">
        <v>20</v>
      </c>
      <c r="J36">
        <f t="shared" si="0"/>
        <v>3</v>
      </c>
      <c r="K36" s="35">
        <f t="shared" si="1"/>
        <v>675000</v>
      </c>
      <c r="L36">
        <f t="shared" si="2"/>
        <v>75</v>
      </c>
      <c r="M36" s="6">
        <f t="shared" si="6"/>
        <v>11250</v>
      </c>
      <c r="N36" s="6">
        <f>(K36/(1+'Autres hypothèses'!$D$5))*('Autres hypothèses'!$D$5/(((1+'Autres hypothèses'!$D$5)^L36-1)))</f>
        <v>6025.6034422570565</v>
      </c>
      <c r="O36">
        <f>O30+H36</f>
        <v>2004</v>
      </c>
      <c r="P36">
        <f t="shared" si="4"/>
        <v>18</v>
      </c>
      <c r="Q36" s="29">
        <f t="shared" si="8"/>
        <v>0.9</v>
      </c>
      <c r="R36" s="3"/>
      <c r="S36" s="3"/>
    </row>
    <row r="37" spans="1:19" x14ac:dyDescent="0.25">
      <c r="A37" s="33" t="s">
        <v>1361</v>
      </c>
      <c r="B37" s="33"/>
      <c r="C37" s="33" t="s">
        <v>1362</v>
      </c>
      <c r="D37" s="33"/>
      <c r="E37" s="33" t="s">
        <v>1363</v>
      </c>
      <c r="F37" s="33"/>
      <c r="G37" s="34">
        <v>2500000</v>
      </c>
      <c r="H37">
        <v>100</v>
      </c>
      <c r="I37">
        <v>75</v>
      </c>
      <c r="J37">
        <f t="shared" si="0"/>
        <v>1</v>
      </c>
      <c r="K37" s="35">
        <f t="shared" si="1"/>
        <v>2500000</v>
      </c>
      <c r="L37">
        <f t="shared" si="2"/>
        <v>75</v>
      </c>
      <c r="M37" s="6">
        <f t="shared" si="6"/>
        <v>33333.333333333336</v>
      </c>
      <c r="N37" s="6">
        <f>(K37/(1+'Autres hypothèses'!$D$5))*('Autres hypothèses'!$D$5/(((1+'Autres hypothèses'!$D$5)^L37-1)))</f>
        <v>22317.049786137246</v>
      </c>
      <c r="O37">
        <v>2000</v>
      </c>
      <c r="P37">
        <f t="shared" si="4"/>
        <v>22</v>
      </c>
      <c r="Q37" s="29">
        <f t="shared" si="8"/>
        <v>0.29333333333333333</v>
      </c>
      <c r="R37" s="3">
        <f t="shared" si="7"/>
        <v>733333.33333333337</v>
      </c>
      <c r="S37" s="3">
        <f t="shared" si="10"/>
        <v>1766666.6666666665</v>
      </c>
    </row>
    <row r="38" spans="1:19" x14ac:dyDescent="0.25">
      <c r="A38" t="s">
        <v>1364</v>
      </c>
      <c r="B38" t="s">
        <v>1365</v>
      </c>
      <c r="C38" t="str">
        <f>$C$37&amp;" - "&amp;B38</f>
        <v>Chantier de travaux publics - Toit</v>
      </c>
      <c r="D38" t="str">
        <f>A38&amp;".A"</f>
        <v>B0006.A</v>
      </c>
      <c r="E38" t="s">
        <v>1366</v>
      </c>
      <c r="F38" s="10">
        <v>7.0000000000000007E-2</v>
      </c>
      <c r="G38" s="36">
        <f>F38*G37</f>
        <v>175000.00000000003</v>
      </c>
      <c r="H38">
        <v>25</v>
      </c>
      <c r="I38">
        <v>20</v>
      </c>
      <c r="J38">
        <f t="shared" si="0"/>
        <v>3</v>
      </c>
      <c r="K38" s="35">
        <f t="shared" si="1"/>
        <v>525000.00000000012</v>
      </c>
      <c r="L38">
        <f t="shared" si="2"/>
        <v>75</v>
      </c>
      <c r="M38" s="6">
        <f t="shared" si="6"/>
        <v>8750.0000000000018</v>
      </c>
      <c r="N38" s="6">
        <f>(K38/(1+'Autres hypothèses'!$D$5))*('Autres hypothèses'!$D$5/(((1+'Autres hypothèses'!$D$5)^L38-1)))</f>
        <v>4686.5804550888233</v>
      </c>
      <c r="O38">
        <f>O37</f>
        <v>2000</v>
      </c>
      <c r="P38">
        <f t="shared" si="4"/>
        <v>22</v>
      </c>
      <c r="Q38" s="29">
        <f t="shared" si="8"/>
        <v>1.1000000000000001</v>
      </c>
      <c r="R38" s="3"/>
      <c r="S38" s="3"/>
    </row>
    <row r="39" spans="1:19" x14ac:dyDescent="0.25">
      <c r="A39" t="s">
        <v>1367</v>
      </c>
      <c r="B39" t="s">
        <v>1368</v>
      </c>
      <c r="C39" t="str">
        <f t="shared" ref="C39:C43" si="14">$C$37&amp;" - "&amp;B39</f>
        <v>Chantier de travaux publics - Systèmes mécaniques</v>
      </c>
      <c r="D39" t="str">
        <f>A39&amp;".B"</f>
        <v>B0006.B</v>
      </c>
      <c r="E39" t="s">
        <v>1369</v>
      </c>
      <c r="F39" s="10">
        <v>0.16</v>
      </c>
      <c r="G39" s="36">
        <f>F39*G37</f>
        <v>400000</v>
      </c>
      <c r="H39">
        <v>24</v>
      </c>
      <c r="I39">
        <v>20</v>
      </c>
      <c r="J39">
        <f t="shared" si="0"/>
        <v>3</v>
      </c>
      <c r="K39" s="35">
        <f t="shared" si="1"/>
        <v>1200000</v>
      </c>
      <c r="L39">
        <f t="shared" si="2"/>
        <v>75</v>
      </c>
      <c r="M39" s="6">
        <f t="shared" si="6"/>
        <v>20000</v>
      </c>
      <c r="N39" s="6">
        <f>(K39/(1+'Autres hypothèses'!$D$5))*('Autres hypothèses'!$D$5/(((1+'Autres hypothèses'!$D$5)^L39-1)))</f>
        <v>10712.183897345878</v>
      </c>
      <c r="O39">
        <f>O37</f>
        <v>2000</v>
      </c>
      <c r="P39">
        <f t="shared" si="4"/>
        <v>22</v>
      </c>
      <c r="Q39" s="29">
        <f t="shared" si="8"/>
        <v>1.1000000000000001</v>
      </c>
      <c r="R39" s="3"/>
      <c r="S39" s="3"/>
    </row>
    <row r="40" spans="1:19" x14ac:dyDescent="0.25">
      <c r="A40" t="s">
        <v>1370</v>
      </c>
      <c r="B40" t="s">
        <v>1371</v>
      </c>
      <c r="C40" t="str">
        <f t="shared" si="14"/>
        <v>Public Works Yard - Windows</v>
      </c>
      <c r="D40" t="str">
        <f>A40&amp;".C"</f>
        <v>B0006.C</v>
      </c>
      <c r="E40" t="s">
        <v>1372</v>
      </c>
      <c r="F40" s="10">
        <v>0.02</v>
      </c>
      <c r="G40" s="36">
        <f>F40*G37</f>
        <v>50000</v>
      </c>
      <c r="H40">
        <v>50</v>
      </c>
      <c r="I40">
        <v>40</v>
      </c>
      <c r="J40">
        <f t="shared" si="0"/>
        <v>1</v>
      </c>
      <c r="K40" s="35">
        <f t="shared" si="1"/>
        <v>50000</v>
      </c>
      <c r="L40">
        <f t="shared" si="2"/>
        <v>75</v>
      </c>
      <c r="M40" s="6">
        <f t="shared" si="6"/>
        <v>1250</v>
      </c>
      <c r="N40" s="6">
        <f>(K40/(1+'Autres hypothèses'!$D$5))*('Autres hypothèses'!$D$5/(((1+'Autres hypothèses'!$D$5)^L40-1)))</f>
        <v>446.34099572274494</v>
      </c>
      <c r="O40">
        <f>O37</f>
        <v>2000</v>
      </c>
      <c r="P40">
        <f t="shared" si="4"/>
        <v>22</v>
      </c>
      <c r="Q40" s="29">
        <f t="shared" si="8"/>
        <v>0.55000000000000004</v>
      </c>
      <c r="R40" s="3"/>
      <c r="S40" s="3"/>
    </row>
    <row r="41" spans="1:19" x14ac:dyDescent="0.25">
      <c r="A41" t="s">
        <v>1373</v>
      </c>
      <c r="B41" t="s">
        <v>1374</v>
      </c>
      <c r="C41" t="str">
        <f t="shared" si="14"/>
        <v>Public Works Yard - Doors</v>
      </c>
      <c r="D41" t="str">
        <f>A41&amp;".D"</f>
        <v>B0006.D</v>
      </c>
      <c r="E41" t="s">
        <v>1375</v>
      </c>
      <c r="F41" s="10">
        <v>0.02</v>
      </c>
      <c r="G41" s="36">
        <f>F41*G37</f>
        <v>50000</v>
      </c>
      <c r="H41">
        <v>43</v>
      </c>
      <c r="I41">
        <v>35</v>
      </c>
      <c r="J41">
        <f t="shared" si="0"/>
        <v>2</v>
      </c>
      <c r="K41" s="35">
        <f t="shared" si="1"/>
        <v>100000</v>
      </c>
      <c r="L41">
        <f t="shared" si="2"/>
        <v>75</v>
      </c>
      <c r="M41" s="6">
        <f t="shared" si="6"/>
        <v>1428.5714285714287</v>
      </c>
      <c r="N41" s="6">
        <f>(K41/(1+'Autres hypothèses'!$D$5))*('Autres hypothèses'!$D$5/(((1+'Autres hypothèses'!$D$5)^L41-1)))</f>
        <v>892.68199144548987</v>
      </c>
      <c r="O41">
        <f>O37</f>
        <v>2000</v>
      </c>
      <c r="P41">
        <f t="shared" si="4"/>
        <v>22</v>
      </c>
      <c r="Q41" s="29">
        <f t="shared" si="8"/>
        <v>0.62857142857142856</v>
      </c>
      <c r="R41" s="3"/>
      <c r="S41" s="3"/>
    </row>
    <row r="42" spans="1:19" x14ac:dyDescent="0.25">
      <c r="A42" t="s">
        <v>1376</v>
      </c>
      <c r="B42" t="s">
        <v>1377</v>
      </c>
      <c r="C42" t="str">
        <f t="shared" si="14"/>
        <v>Public Works Yard - Electrical</v>
      </c>
      <c r="D42" t="str">
        <f>A42&amp;".E"</f>
        <v>B0006.E</v>
      </c>
      <c r="E42" t="s">
        <v>1378</v>
      </c>
      <c r="F42" s="10">
        <v>0.08</v>
      </c>
      <c r="G42" s="36">
        <f>F42*G37</f>
        <v>200000</v>
      </c>
      <c r="H42">
        <v>25</v>
      </c>
      <c r="I42">
        <v>20</v>
      </c>
      <c r="J42">
        <f t="shared" si="0"/>
        <v>3</v>
      </c>
      <c r="K42" s="35">
        <f t="shared" si="1"/>
        <v>600000</v>
      </c>
      <c r="L42">
        <f t="shared" si="2"/>
        <v>75</v>
      </c>
      <c r="M42" s="6">
        <f t="shared" si="6"/>
        <v>10000</v>
      </c>
      <c r="N42" s="6">
        <f>(K42/(1+'Autres hypothèses'!$D$5))*('Autres hypothèses'!$D$5/(((1+'Autres hypothèses'!$D$5)^L42-1)))</f>
        <v>5356.091948672939</v>
      </c>
      <c r="O42">
        <f>O37+I42</f>
        <v>2020</v>
      </c>
      <c r="P42">
        <f t="shared" si="4"/>
        <v>2</v>
      </c>
      <c r="Q42" s="29">
        <f t="shared" si="8"/>
        <v>0.1</v>
      </c>
      <c r="R42" s="3"/>
      <c r="S42" s="3"/>
    </row>
    <row r="43" spans="1:19" x14ac:dyDescent="0.25">
      <c r="A43" t="s">
        <v>1379</v>
      </c>
      <c r="B43" t="s">
        <v>1380</v>
      </c>
      <c r="C43" t="str">
        <f t="shared" si="14"/>
        <v>Public Works Yard - Floor Coverings</v>
      </c>
      <c r="D43" t="str">
        <f>A43&amp;".F"</f>
        <v>B0006.F</v>
      </c>
      <c r="E43" t="s">
        <v>1381</v>
      </c>
      <c r="F43" s="10">
        <v>0.03</v>
      </c>
      <c r="G43" s="36">
        <f>F43*G37</f>
        <v>75000</v>
      </c>
      <c r="H43">
        <v>25</v>
      </c>
      <c r="I43">
        <v>20</v>
      </c>
      <c r="J43">
        <f t="shared" si="0"/>
        <v>3</v>
      </c>
      <c r="K43" s="35">
        <f t="shared" si="1"/>
        <v>225000</v>
      </c>
      <c r="L43">
        <f t="shared" si="2"/>
        <v>75</v>
      </c>
      <c r="M43" s="6">
        <f t="shared" si="6"/>
        <v>3750</v>
      </c>
      <c r="N43" s="6">
        <f>(K43/(1+'Autres hypothèses'!$D$5))*('Autres hypothèses'!$D$5/(((1+'Autres hypothèses'!$D$5)^L43-1)))</f>
        <v>2008.5344807523522</v>
      </c>
      <c r="O43">
        <f>O37+I43</f>
        <v>2020</v>
      </c>
      <c r="P43">
        <f t="shared" si="4"/>
        <v>2</v>
      </c>
      <c r="Q43" s="29">
        <f t="shared" si="8"/>
        <v>0.1</v>
      </c>
      <c r="R43" s="3"/>
      <c r="S43" s="3"/>
    </row>
    <row r="44" spans="1:19" x14ac:dyDescent="0.25">
      <c r="A44" s="33" t="s">
        <v>1382</v>
      </c>
      <c r="B44" s="33"/>
      <c r="C44" s="33" t="s">
        <v>1383</v>
      </c>
      <c r="D44" s="33"/>
      <c r="E44" s="33" t="s">
        <v>1384</v>
      </c>
      <c r="F44" s="33"/>
      <c r="G44" s="34">
        <v>2500000</v>
      </c>
      <c r="H44">
        <v>100</v>
      </c>
      <c r="I44">
        <v>75</v>
      </c>
      <c r="J44">
        <f t="shared" si="0"/>
        <v>1</v>
      </c>
      <c r="K44" s="35">
        <f t="shared" si="1"/>
        <v>2500000</v>
      </c>
      <c r="L44">
        <f t="shared" si="2"/>
        <v>75</v>
      </c>
      <c r="M44" s="6">
        <f t="shared" si="6"/>
        <v>33333.333333333336</v>
      </c>
      <c r="N44" s="6">
        <f>(K44/(1+'Autres hypothèses'!$D$5))*('Autres hypothèses'!$D$5/(((1+'Autres hypothèses'!$D$5)^L44-1)))</f>
        <v>22317.049786137246</v>
      </c>
      <c r="O44">
        <v>2005</v>
      </c>
      <c r="P44">
        <f t="shared" si="4"/>
        <v>17</v>
      </c>
      <c r="Q44" s="29">
        <f t="shared" si="8"/>
        <v>0.22666666666666666</v>
      </c>
      <c r="R44" s="3">
        <f t="shared" si="7"/>
        <v>566666.66666666663</v>
      </c>
      <c r="S44" s="3">
        <f t="shared" si="10"/>
        <v>1933333.3333333335</v>
      </c>
    </row>
    <row r="45" spans="1:19" x14ac:dyDescent="0.25">
      <c r="A45" t="s">
        <v>1385</v>
      </c>
      <c r="B45" t="s">
        <v>1386</v>
      </c>
      <c r="C45" t="str">
        <f>$C$44&amp;" - "&amp;B45</f>
        <v>Centre communautaire - Toit</v>
      </c>
      <c r="D45" t="str">
        <f>A45&amp;".A"</f>
        <v>B0007.A</v>
      </c>
      <c r="E45" t="s">
        <v>1387</v>
      </c>
      <c r="F45" s="10">
        <v>7.0000000000000007E-2</v>
      </c>
      <c r="G45" s="36">
        <f>F45*G44</f>
        <v>175000.00000000003</v>
      </c>
      <c r="H45">
        <v>25</v>
      </c>
      <c r="I45">
        <v>20</v>
      </c>
      <c r="J45">
        <f t="shared" si="0"/>
        <v>3</v>
      </c>
      <c r="K45" s="35">
        <f t="shared" si="1"/>
        <v>525000.00000000012</v>
      </c>
      <c r="L45">
        <f t="shared" si="2"/>
        <v>75</v>
      </c>
      <c r="M45" s="6">
        <f t="shared" si="6"/>
        <v>8750.0000000000018</v>
      </c>
      <c r="N45" s="6">
        <f>(K45/(1+'Autres hypothèses'!$D$5))*('Autres hypothèses'!$D$5/(((1+'Autres hypothèses'!$D$5)^L45-1)))</f>
        <v>4686.5804550888233</v>
      </c>
      <c r="O45">
        <f>O44</f>
        <v>2005</v>
      </c>
      <c r="P45">
        <f t="shared" si="4"/>
        <v>17</v>
      </c>
      <c r="Q45" s="29">
        <f t="shared" si="8"/>
        <v>0.85</v>
      </c>
      <c r="R45" s="3"/>
      <c r="S45" s="3"/>
    </row>
    <row r="46" spans="1:19" x14ac:dyDescent="0.25">
      <c r="A46" t="s">
        <v>1388</v>
      </c>
      <c r="B46" t="s">
        <v>1389</v>
      </c>
      <c r="C46" t="str">
        <f t="shared" ref="C46:C50" si="15">$C$44&amp;" - "&amp;B46</f>
        <v>Centre communautaire - Systèmes mécaniques</v>
      </c>
      <c r="D46" t="str">
        <f>A46&amp;".B"</f>
        <v>B0007.B</v>
      </c>
      <c r="E46" t="s">
        <v>1390</v>
      </c>
      <c r="F46" s="10">
        <v>0.16</v>
      </c>
      <c r="G46" s="36">
        <f>F46*G44</f>
        <v>400000</v>
      </c>
      <c r="H46">
        <v>24</v>
      </c>
      <c r="I46">
        <v>20</v>
      </c>
      <c r="J46">
        <f t="shared" si="0"/>
        <v>3</v>
      </c>
      <c r="K46" s="35">
        <f t="shared" si="1"/>
        <v>1200000</v>
      </c>
      <c r="L46">
        <f t="shared" si="2"/>
        <v>75</v>
      </c>
      <c r="M46" s="6">
        <f t="shared" si="6"/>
        <v>20000</v>
      </c>
      <c r="N46" s="6">
        <f>(K46/(1+'Autres hypothèses'!$D$5))*('Autres hypothèses'!$D$5/(((1+'Autres hypothèses'!$D$5)^L46-1)))</f>
        <v>10712.183897345878</v>
      </c>
      <c r="O46">
        <f>O44</f>
        <v>2005</v>
      </c>
      <c r="P46">
        <f t="shared" si="4"/>
        <v>17</v>
      </c>
      <c r="Q46" s="29">
        <f t="shared" si="8"/>
        <v>0.85</v>
      </c>
      <c r="R46" s="3"/>
      <c r="S46" s="3"/>
    </row>
    <row r="47" spans="1:19" x14ac:dyDescent="0.25">
      <c r="A47" t="s">
        <v>1391</v>
      </c>
      <c r="B47" t="s">
        <v>1392</v>
      </c>
      <c r="C47" t="str">
        <f t="shared" si="15"/>
        <v>Community Centre - Windows</v>
      </c>
      <c r="D47" t="str">
        <f>A47&amp;".C"</f>
        <v>B0007.C</v>
      </c>
      <c r="E47" t="s">
        <v>1393</v>
      </c>
      <c r="F47" s="10">
        <v>0.02</v>
      </c>
      <c r="G47" s="36">
        <f>F47*G44</f>
        <v>50000</v>
      </c>
      <c r="H47">
        <v>50</v>
      </c>
      <c r="I47">
        <v>40</v>
      </c>
      <c r="J47">
        <f t="shared" si="0"/>
        <v>1</v>
      </c>
      <c r="K47" s="35">
        <f t="shared" si="1"/>
        <v>50000</v>
      </c>
      <c r="L47">
        <f t="shared" si="2"/>
        <v>75</v>
      </c>
      <c r="M47" s="6">
        <f t="shared" si="6"/>
        <v>1250</v>
      </c>
      <c r="N47" s="6">
        <f>(K47/(1+'Autres hypothèses'!$D$5))*('Autres hypothèses'!$D$5/(((1+'Autres hypothèses'!$D$5)^L47-1)))</f>
        <v>446.34099572274494</v>
      </c>
      <c r="O47">
        <f>O44</f>
        <v>2005</v>
      </c>
      <c r="P47">
        <f t="shared" si="4"/>
        <v>17</v>
      </c>
      <c r="Q47" s="29">
        <f t="shared" si="8"/>
        <v>0.42499999999999999</v>
      </c>
      <c r="R47" s="3"/>
      <c r="S47" s="3"/>
    </row>
    <row r="48" spans="1:19" x14ac:dyDescent="0.25">
      <c r="A48" t="s">
        <v>1394</v>
      </c>
      <c r="B48" t="s">
        <v>1395</v>
      </c>
      <c r="C48" t="str">
        <f t="shared" si="15"/>
        <v>Community Centre - Doors</v>
      </c>
      <c r="D48" t="str">
        <f>A48&amp;".D"</f>
        <v>B0007.D</v>
      </c>
      <c r="E48" t="s">
        <v>1396</v>
      </c>
      <c r="F48" s="10">
        <v>0.02</v>
      </c>
      <c r="G48" s="36">
        <f>F48*G44</f>
        <v>50000</v>
      </c>
      <c r="H48">
        <v>43</v>
      </c>
      <c r="I48">
        <v>35</v>
      </c>
      <c r="J48">
        <f t="shared" si="0"/>
        <v>2</v>
      </c>
      <c r="K48" s="35">
        <f t="shared" si="1"/>
        <v>100000</v>
      </c>
      <c r="L48">
        <f t="shared" si="2"/>
        <v>75</v>
      </c>
      <c r="M48" s="6">
        <f t="shared" si="6"/>
        <v>1428.5714285714287</v>
      </c>
      <c r="N48" s="6">
        <f>(K48/(1+'Autres hypothèses'!$D$5))*('Autres hypothèses'!$D$5/(((1+'Autres hypothèses'!$D$5)^L48-1)))</f>
        <v>892.68199144548987</v>
      </c>
      <c r="O48">
        <f>O44</f>
        <v>2005</v>
      </c>
      <c r="P48">
        <f t="shared" si="4"/>
        <v>17</v>
      </c>
      <c r="Q48" s="29">
        <f t="shared" si="8"/>
        <v>0.48571428571428571</v>
      </c>
      <c r="R48" s="3"/>
      <c r="S48" s="3"/>
    </row>
    <row r="49" spans="1:19" x14ac:dyDescent="0.25">
      <c r="A49" t="s">
        <v>1397</v>
      </c>
      <c r="B49" t="s">
        <v>1398</v>
      </c>
      <c r="C49" t="str">
        <f t="shared" si="15"/>
        <v>Community Centre - Electrical</v>
      </c>
      <c r="D49" t="str">
        <f>A49&amp;".E"</f>
        <v>B0007.E</v>
      </c>
      <c r="E49" t="s">
        <v>1399</v>
      </c>
      <c r="F49" s="10">
        <v>0.08</v>
      </c>
      <c r="G49" s="36">
        <f>F49*G44</f>
        <v>200000</v>
      </c>
      <c r="H49">
        <v>25</v>
      </c>
      <c r="I49">
        <v>20</v>
      </c>
      <c r="J49">
        <f t="shared" si="0"/>
        <v>3</v>
      </c>
      <c r="K49" s="35">
        <f t="shared" si="1"/>
        <v>600000</v>
      </c>
      <c r="L49">
        <f t="shared" si="2"/>
        <v>75</v>
      </c>
      <c r="M49" s="6">
        <f t="shared" si="6"/>
        <v>10000</v>
      </c>
      <c r="N49" s="6">
        <f>(K49/(1+'Autres hypothèses'!$D$5))*('Autres hypothèses'!$D$5/(((1+'Autres hypothèses'!$D$5)^L49-1)))</f>
        <v>5356.091948672939</v>
      </c>
      <c r="O49">
        <f>O44</f>
        <v>2005</v>
      </c>
      <c r="P49">
        <f t="shared" si="4"/>
        <v>17</v>
      </c>
      <c r="Q49" s="29">
        <f t="shared" si="8"/>
        <v>0.85</v>
      </c>
      <c r="R49" s="3"/>
      <c r="S49" s="3"/>
    </row>
    <row r="50" spans="1:19" x14ac:dyDescent="0.25">
      <c r="A50" t="s">
        <v>1400</v>
      </c>
      <c r="B50" t="s">
        <v>1401</v>
      </c>
      <c r="C50" t="str">
        <f t="shared" si="15"/>
        <v>Community Centre - Floor Coverings</v>
      </c>
      <c r="D50" t="str">
        <f>A50&amp;".F"</f>
        <v>B0007.F</v>
      </c>
      <c r="E50" t="s">
        <v>1402</v>
      </c>
      <c r="F50" s="10">
        <v>0.03</v>
      </c>
      <c r="G50" s="36">
        <f>F50*G44</f>
        <v>75000</v>
      </c>
      <c r="H50">
        <v>25</v>
      </c>
      <c r="I50">
        <v>20</v>
      </c>
      <c r="J50">
        <f t="shared" si="0"/>
        <v>3</v>
      </c>
      <c r="K50" s="35">
        <f t="shared" si="1"/>
        <v>225000</v>
      </c>
      <c r="L50">
        <f t="shared" si="2"/>
        <v>75</v>
      </c>
      <c r="M50" s="6">
        <f t="shared" si="6"/>
        <v>3750</v>
      </c>
      <c r="N50" s="6">
        <f>(K50/(1+'Autres hypothèses'!$D$5))*('Autres hypothèses'!$D$5/(((1+'Autres hypothèses'!$D$5)^L50-1)))</f>
        <v>2008.5344807523522</v>
      </c>
      <c r="O50">
        <f>O44</f>
        <v>2005</v>
      </c>
      <c r="P50">
        <f t="shared" si="4"/>
        <v>17</v>
      </c>
      <c r="Q50" s="29">
        <f t="shared" si="8"/>
        <v>0.85</v>
      </c>
      <c r="R50" s="3"/>
      <c r="S50" s="3"/>
    </row>
    <row r="51" spans="1:19" x14ac:dyDescent="0.25">
      <c r="A51" s="33" t="s">
        <v>1403</v>
      </c>
      <c r="B51" s="33"/>
      <c r="C51" s="33" t="s">
        <v>1404</v>
      </c>
      <c r="D51" s="33"/>
      <c r="E51" s="33" t="s">
        <v>1405</v>
      </c>
      <c r="F51" s="33"/>
      <c r="G51" s="34">
        <v>500000</v>
      </c>
      <c r="H51">
        <v>100</v>
      </c>
      <c r="I51">
        <v>75</v>
      </c>
      <c r="J51">
        <f t="shared" si="0"/>
        <v>1</v>
      </c>
      <c r="K51" s="35">
        <f t="shared" si="1"/>
        <v>500000</v>
      </c>
      <c r="L51">
        <f t="shared" si="2"/>
        <v>75</v>
      </c>
      <c r="M51" s="6">
        <f t="shared" si="6"/>
        <v>6666.666666666667</v>
      </c>
      <c r="N51" s="6">
        <f>(K51/(1+'Autres hypothèses'!$D$5))*('Autres hypothèses'!$D$5/(((1+'Autres hypothèses'!$D$5)^L51-1)))</f>
        <v>4463.409957227449</v>
      </c>
      <c r="O51">
        <v>2000</v>
      </c>
      <c r="P51">
        <f t="shared" si="4"/>
        <v>22</v>
      </c>
      <c r="Q51" s="29">
        <f t="shared" si="8"/>
        <v>0.29333333333333333</v>
      </c>
      <c r="R51" s="3">
        <f t="shared" si="7"/>
        <v>146666.66666666666</v>
      </c>
      <c r="S51" s="3">
        <f t="shared" si="10"/>
        <v>353333.33333333337</v>
      </c>
    </row>
    <row r="52" spans="1:19" x14ac:dyDescent="0.25">
      <c r="A52" t="s">
        <v>1406</v>
      </c>
      <c r="B52" t="s">
        <v>1407</v>
      </c>
      <c r="C52" t="str">
        <f>$C$51&amp;" - "&amp;B52</f>
        <v>Hangar de parc - Toit</v>
      </c>
      <c r="D52" t="str">
        <f>A52&amp;".A"</f>
        <v>B0008.A</v>
      </c>
      <c r="E52" t="s">
        <v>1408</v>
      </c>
      <c r="F52" s="10">
        <v>7.0000000000000007E-2</v>
      </c>
      <c r="G52" s="36">
        <f>F52*G51</f>
        <v>35000</v>
      </c>
      <c r="H52">
        <v>25</v>
      </c>
      <c r="I52">
        <v>20</v>
      </c>
      <c r="J52">
        <f t="shared" si="0"/>
        <v>3</v>
      </c>
      <c r="K52" s="35">
        <f t="shared" si="1"/>
        <v>105000</v>
      </c>
      <c r="L52">
        <f t="shared" si="2"/>
        <v>75</v>
      </c>
      <c r="M52" s="6">
        <f t="shared" si="6"/>
        <v>1750</v>
      </c>
      <c r="N52" s="6">
        <f>(K52/(1+'Autres hypothèses'!$D$5))*('Autres hypothèses'!$D$5/(((1+'Autres hypothèses'!$D$5)^L52-1)))</f>
        <v>937.31609101776439</v>
      </c>
      <c r="O52">
        <f>O51+I52</f>
        <v>2020</v>
      </c>
      <c r="P52">
        <f t="shared" si="4"/>
        <v>2</v>
      </c>
      <c r="Q52" s="29">
        <f t="shared" si="8"/>
        <v>0.1</v>
      </c>
      <c r="R52" s="3"/>
      <c r="S52" s="3"/>
    </row>
    <row r="53" spans="1:19" x14ac:dyDescent="0.25">
      <c r="A53" t="s">
        <v>1409</v>
      </c>
      <c r="B53" t="s">
        <v>1410</v>
      </c>
      <c r="C53" t="str">
        <f t="shared" ref="C53:C57" si="16">$C$51&amp;" - "&amp;B53</f>
        <v>Hangar de parc - Systèmes mécaniques</v>
      </c>
      <c r="D53" t="str">
        <f>A53&amp;".B"</f>
        <v>B0008.B</v>
      </c>
      <c r="E53" t="s">
        <v>1411</v>
      </c>
      <c r="F53" s="10">
        <v>0.16</v>
      </c>
      <c r="G53" s="36">
        <f>F53*G51</f>
        <v>80000</v>
      </c>
      <c r="H53">
        <v>24</v>
      </c>
      <c r="I53">
        <v>20</v>
      </c>
      <c r="J53">
        <f t="shared" si="0"/>
        <v>3</v>
      </c>
      <c r="K53" s="35">
        <f t="shared" si="1"/>
        <v>240000</v>
      </c>
      <c r="L53">
        <f t="shared" si="2"/>
        <v>75</v>
      </c>
      <c r="M53" s="6">
        <f t="shared" si="6"/>
        <v>4000</v>
      </c>
      <c r="N53" s="6">
        <f>(K53/(1+'Autres hypothèses'!$D$5))*('Autres hypothèses'!$D$5/(((1+'Autres hypothèses'!$D$5)^L53-1)))</f>
        <v>2142.4367794691757</v>
      </c>
      <c r="O53">
        <f>O51+I53</f>
        <v>2020</v>
      </c>
      <c r="P53">
        <f t="shared" si="4"/>
        <v>2</v>
      </c>
      <c r="Q53" s="29">
        <f t="shared" si="8"/>
        <v>0.1</v>
      </c>
      <c r="R53" s="3"/>
      <c r="S53" s="3"/>
    </row>
    <row r="54" spans="1:19" x14ac:dyDescent="0.25">
      <c r="A54" t="s">
        <v>1412</v>
      </c>
      <c r="B54" t="s">
        <v>1413</v>
      </c>
      <c r="C54" t="str">
        <f t="shared" si="16"/>
        <v>Parks Shed - Windows</v>
      </c>
      <c r="D54" t="str">
        <f>A54&amp;".C"</f>
        <v>B0008.C</v>
      </c>
      <c r="E54" t="s">
        <v>1414</v>
      </c>
      <c r="F54" s="10">
        <v>0.02</v>
      </c>
      <c r="G54" s="36">
        <f>F54*G51</f>
        <v>10000</v>
      </c>
      <c r="H54">
        <v>50</v>
      </c>
      <c r="I54">
        <v>40</v>
      </c>
      <c r="J54">
        <f t="shared" si="0"/>
        <v>1</v>
      </c>
      <c r="K54" s="35">
        <f t="shared" si="1"/>
        <v>10000</v>
      </c>
      <c r="L54">
        <f t="shared" si="2"/>
        <v>75</v>
      </c>
      <c r="M54" s="6">
        <f t="shared" si="6"/>
        <v>250</v>
      </c>
      <c r="N54" s="6">
        <f>(K54/(1+'Autres hypothèses'!$D$5))*('Autres hypothèses'!$D$5/(((1+'Autres hypothèses'!$D$5)^L54-1)))</f>
        <v>89.268199144548987</v>
      </c>
      <c r="O54">
        <f>O51</f>
        <v>2000</v>
      </c>
      <c r="P54">
        <f t="shared" si="4"/>
        <v>22</v>
      </c>
      <c r="Q54" s="29">
        <f t="shared" si="8"/>
        <v>0.55000000000000004</v>
      </c>
      <c r="R54" s="3"/>
      <c r="S54" s="3"/>
    </row>
    <row r="55" spans="1:19" x14ac:dyDescent="0.25">
      <c r="A55" t="s">
        <v>1415</v>
      </c>
      <c r="B55" t="s">
        <v>1416</v>
      </c>
      <c r="C55" t="str">
        <f t="shared" si="16"/>
        <v>Parks Shed - Doors</v>
      </c>
      <c r="D55" t="str">
        <f>A55&amp;".D"</f>
        <v>B0008.D</v>
      </c>
      <c r="E55" t="s">
        <v>1417</v>
      </c>
      <c r="F55" s="10">
        <v>0.02</v>
      </c>
      <c r="G55" s="36">
        <f>F55*G51</f>
        <v>10000</v>
      </c>
      <c r="H55">
        <v>43</v>
      </c>
      <c r="I55">
        <v>35</v>
      </c>
      <c r="J55">
        <f t="shared" si="0"/>
        <v>2</v>
      </c>
      <c r="K55" s="35">
        <f t="shared" si="1"/>
        <v>20000</v>
      </c>
      <c r="L55">
        <f t="shared" si="2"/>
        <v>75</v>
      </c>
      <c r="M55" s="6">
        <f t="shared" si="6"/>
        <v>285.71428571428572</v>
      </c>
      <c r="N55" s="6">
        <f>(K55/(1+'Autres hypothèses'!$D$5))*('Autres hypothèses'!$D$5/(((1+'Autres hypothèses'!$D$5)^L55-1)))</f>
        <v>178.53639828909797</v>
      </c>
      <c r="O55">
        <f>O51</f>
        <v>2000</v>
      </c>
      <c r="P55">
        <f t="shared" si="4"/>
        <v>22</v>
      </c>
      <c r="Q55" s="29">
        <f t="shared" si="8"/>
        <v>0.62857142857142856</v>
      </c>
      <c r="R55" s="3"/>
      <c r="S55" s="3"/>
    </row>
    <row r="56" spans="1:19" x14ac:dyDescent="0.25">
      <c r="A56" t="s">
        <v>1418</v>
      </c>
      <c r="B56" t="s">
        <v>1419</v>
      </c>
      <c r="C56" t="str">
        <f t="shared" si="16"/>
        <v>Parks Shed - Electrical</v>
      </c>
      <c r="D56" t="str">
        <f>A56&amp;".E"</f>
        <v>B0008.E</v>
      </c>
      <c r="E56" t="s">
        <v>1420</v>
      </c>
      <c r="F56" s="10">
        <v>0.08</v>
      </c>
      <c r="G56" s="36">
        <f>F56*G51</f>
        <v>40000</v>
      </c>
      <c r="H56">
        <v>25</v>
      </c>
      <c r="I56">
        <v>20</v>
      </c>
      <c r="J56">
        <f t="shared" si="0"/>
        <v>3</v>
      </c>
      <c r="K56" s="35">
        <f t="shared" si="1"/>
        <v>120000</v>
      </c>
      <c r="L56">
        <f t="shared" si="2"/>
        <v>75</v>
      </c>
      <c r="M56" s="6">
        <f t="shared" si="6"/>
        <v>2000</v>
      </c>
      <c r="N56" s="6">
        <f>(K56/(1+'Autres hypothèses'!$D$5))*('Autres hypothèses'!$D$5/(((1+'Autres hypothèses'!$D$5)^L56-1)))</f>
        <v>1071.2183897345878</v>
      </c>
      <c r="O56">
        <f>O51+I56</f>
        <v>2020</v>
      </c>
      <c r="P56">
        <f t="shared" si="4"/>
        <v>2</v>
      </c>
      <c r="Q56" s="29">
        <f t="shared" si="8"/>
        <v>0.1</v>
      </c>
      <c r="R56" s="3"/>
      <c r="S56" s="3"/>
    </row>
    <row r="57" spans="1:19" x14ac:dyDescent="0.25">
      <c r="A57" t="s">
        <v>1421</v>
      </c>
      <c r="B57" t="s">
        <v>1422</v>
      </c>
      <c r="C57" t="str">
        <f t="shared" si="16"/>
        <v>Parks Shed - Floor Coverings</v>
      </c>
      <c r="D57" t="str">
        <f>A57&amp;".F"</f>
        <v>B0008.F</v>
      </c>
      <c r="E57" t="s">
        <v>1423</v>
      </c>
      <c r="F57" s="10">
        <v>0.03</v>
      </c>
      <c r="G57" s="36">
        <f>F57*G51</f>
        <v>15000</v>
      </c>
      <c r="H57">
        <v>25</v>
      </c>
      <c r="I57">
        <v>20</v>
      </c>
      <c r="J57">
        <f t="shared" si="0"/>
        <v>3</v>
      </c>
      <c r="K57" s="35">
        <f t="shared" si="1"/>
        <v>45000</v>
      </c>
      <c r="L57">
        <f t="shared" si="2"/>
        <v>75</v>
      </c>
      <c r="M57" s="6">
        <f t="shared" si="6"/>
        <v>750</v>
      </c>
      <c r="N57" s="6">
        <f>(K57/(1+'Autres hypothèses'!$D$5))*('Autres hypothèses'!$D$5/(((1+'Autres hypothèses'!$D$5)^L57-1)))</f>
        <v>401.70689615047047</v>
      </c>
      <c r="O57">
        <f>O51+I57</f>
        <v>2020</v>
      </c>
      <c r="P57">
        <f t="shared" si="4"/>
        <v>2</v>
      </c>
      <c r="Q57" s="29">
        <f t="shared" si="8"/>
        <v>0.1</v>
      </c>
      <c r="R57" s="3"/>
      <c r="S57" s="3"/>
    </row>
    <row r="58" spans="1:19" x14ac:dyDescent="0.25">
      <c r="A58" s="33" t="s">
        <v>1424</v>
      </c>
      <c r="B58" s="33"/>
      <c r="C58" s="33" t="s">
        <v>1425</v>
      </c>
      <c r="D58" s="33"/>
      <c r="E58" s="33" t="s">
        <v>1426</v>
      </c>
      <c r="F58" s="33"/>
      <c r="G58" s="34">
        <v>500000</v>
      </c>
      <c r="H58">
        <v>100</v>
      </c>
      <c r="I58">
        <v>75</v>
      </c>
      <c r="J58">
        <f t="shared" si="0"/>
        <v>1</v>
      </c>
      <c r="K58" s="35">
        <f t="shared" si="1"/>
        <v>500000</v>
      </c>
      <c r="L58">
        <f t="shared" si="2"/>
        <v>75</v>
      </c>
      <c r="M58" s="6">
        <f t="shared" si="6"/>
        <v>6666.666666666667</v>
      </c>
      <c r="N58" s="6">
        <f>(K58/(1+'Autres hypothèses'!$D$5))*('Autres hypothèses'!$D$5/(((1+'Autres hypothèses'!$D$5)^L58-1)))</f>
        <v>4463.409957227449</v>
      </c>
      <c r="O58">
        <v>2013</v>
      </c>
      <c r="P58">
        <f t="shared" si="4"/>
        <v>9</v>
      </c>
      <c r="Q58" s="29">
        <f t="shared" si="8"/>
        <v>0.12</v>
      </c>
      <c r="R58" s="3">
        <f t="shared" si="7"/>
        <v>60000</v>
      </c>
      <c r="S58" s="3">
        <f t="shared" si="10"/>
        <v>440000</v>
      </c>
    </row>
    <row r="59" spans="1:19" x14ac:dyDescent="0.25">
      <c r="A59" t="s">
        <v>1427</v>
      </c>
      <c r="B59" t="s">
        <v>1428</v>
      </c>
      <c r="C59" t="str">
        <f>$C$58&amp;" - "&amp;B59</f>
        <v>Bâtiment de concession - Toit</v>
      </c>
      <c r="D59" t="str">
        <f>A59&amp;".A"</f>
        <v>B0009.A</v>
      </c>
      <c r="E59" t="s">
        <v>1429</v>
      </c>
      <c r="F59" s="10">
        <v>7.0000000000000007E-2</v>
      </c>
      <c r="G59" s="36">
        <f>F59*G58</f>
        <v>35000</v>
      </c>
      <c r="H59">
        <v>25</v>
      </c>
      <c r="I59">
        <v>20</v>
      </c>
      <c r="J59">
        <f t="shared" si="0"/>
        <v>3</v>
      </c>
      <c r="K59" s="35">
        <f t="shared" si="1"/>
        <v>105000</v>
      </c>
      <c r="L59">
        <f t="shared" si="2"/>
        <v>75</v>
      </c>
      <c r="M59" s="6">
        <f t="shared" si="6"/>
        <v>1750</v>
      </c>
      <c r="N59" s="6">
        <f>(K59/(1+'Autres hypothèses'!$D$5))*('Autres hypothèses'!$D$5/(((1+'Autres hypothèses'!$D$5)^L59-1)))</f>
        <v>937.31609101776439</v>
      </c>
      <c r="O59">
        <f>O58</f>
        <v>2013</v>
      </c>
      <c r="P59">
        <f t="shared" si="4"/>
        <v>9</v>
      </c>
      <c r="Q59" s="29">
        <f t="shared" si="8"/>
        <v>0.45</v>
      </c>
      <c r="R59" s="3"/>
      <c r="S59" s="3"/>
    </row>
    <row r="60" spans="1:19" x14ac:dyDescent="0.25">
      <c r="A60" t="s">
        <v>1430</v>
      </c>
      <c r="B60" t="s">
        <v>1431</v>
      </c>
      <c r="C60" t="str">
        <f t="shared" ref="C60:C64" si="17">$C$58&amp;" - "&amp;B60</f>
        <v>Bâtiment de concession - Systèmes mécaniques</v>
      </c>
      <c r="D60" t="str">
        <f>A60&amp;".B"</f>
        <v>B0009.B</v>
      </c>
      <c r="E60" t="s">
        <v>1432</v>
      </c>
      <c r="F60" s="10">
        <v>0.16</v>
      </c>
      <c r="G60" s="36">
        <f>F60*G58</f>
        <v>80000</v>
      </c>
      <c r="H60">
        <v>24</v>
      </c>
      <c r="I60">
        <v>20</v>
      </c>
      <c r="J60">
        <f t="shared" si="0"/>
        <v>3</v>
      </c>
      <c r="K60" s="35">
        <f t="shared" si="1"/>
        <v>240000</v>
      </c>
      <c r="L60">
        <f t="shared" si="2"/>
        <v>75</v>
      </c>
      <c r="M60" s="6">
        <f t="shared" si="6"/>
        <v>4000</v>
      </c>
      <c r="N60" s="6">
        <f>(K60/(1+'Autres hypothèses'!$D$5))*('Autres hypothèses'!$D$5/(((1+'Autres hypothèses'!$D$5)^L60-1)))</f>
        <v>2142.4367794691757</v>
      </c>
      <c r="O60">
        <f>O58</f>
        <v>2013</v>
      </c>
      <c r="P60">
        <f t="shared" si="4"/>
        <v>9</v>
      </c>
      <c r="Q60" s="29">
        <f t="shared" si="8"/>
        <v>0.45</v>
      </c>
      <c r="R60" s="3"/>
      <c r="S60" s="3"/>
    </row>
    <row r="61" spans="1:19" x14ac:dyDescent="0.25">
      <c r="A61" t="s">
        <v>1433</v>
      </c>
      <c r="B61" t="s">
        <v>1434</v>
      </c>
      <c r="C61" t="str">
        <f t="shared" si="17"/>
        <v>Concession Building - Windows</v>
      </c>
      <c r="D61" t="str">
        <f>A61&amp;".C"</f>
        <v>B0009.C</v>
      </c>
      <c r="E61" t="s">
        <v>1435</v>
      </c>
      <c r="F61" s="10">
        <v>0.02</v>
      </c>
      <c r="G61" s="36">
        <f>F61*G58</f>
        <v>10000</v>
      </c>
      <c r="H61">
        <v>50</v>
      </c>
      <c r="I61">
        <v>40</v>
      </c>
      <c r="J61">
        <f t="shared" si="0"/>
        <v>1</v>
      </c>
      <c r="K61" s="35">
        <f t="shared" si="1"/>
        <v>10000</v>
      </c>
      <c r="L61">
        <f t="shared" si="2"/>
        <v>75</v>
      </c>
      <c r="M61" s="6">
        <f t="shared" si="6"/>
        <v>250</v>
      </c>
      <c r="N61" s="6">
        <f>(K61/(1+'Autres hypothèses'!$D$5))*('Autres hypothèses'!$D$5/(((1+'Autres hypothèses'!$D$5)^L61-1)))</f>
        <v>89.268199144548987</v>
      </c>
      <c r="O61">
        <f>O58</f>
        <v>2013</v>
      </c>
      <c r="P61">
        <f t="shared" si="4"/>
        <v>9</v>
      </c>
      <c r="Q61" s="29">
        <f t="shared" si="8"/>
        <v>0.22500000000000001</v>
      </c>
      <c r="R61" s="3"/>
      <c r="S61" s="3"/>
    </row>
    <row r="62" spans="1:19" x14ac:dyDescent="0.25">
      <c r="A62" t="s">
        <v>1436</v>
      </c>
      <c r="B62" t="s">
        <v>1437</v>
      </c>
      <c r="C62" t="str">
        <f t="shared" si="17"/>
        <v>Concession Building - Doors</v>
      </c>
      <c r="D62" t="str">
        <f>A62&amp;".D"</f>
        <v>B0009.D</v>
      </c>
      <c r="E62" t="s">
        <v>1438</v>
      </c>
      <c r="F62" s="10">
        <v>0.02</v>
      </c>
      <c r="G62" s="36">
        <f>F62*G58</f>
        <v>10000</v>
      </c>
      <c r="H62">
        <v>43</v>
      </c>
      <c r="I62">
        <v>35</v>
      </c>
      <c r="J62">
        <f t="shared" si="0"/>
        <v>2</v>
      </c>
      <c r="K62" s="35">
        <f t="shared" si="1"/>
        <v>20000</v>
      </c>
      <c r="L62">
        <f t="shared" si="2"/>
        <v>75</v>
      </c>
      <c r="M62" s="6">
        <f t="shared" si="6"/>
        <v>285.71428571428572</v>
      </c>
      <c r="N62" s="6">
        <f>(K62/(1+'Autres hypothèses'!$D$5))*('Autres hypothèses'!$D$5/(((1+'Autres hypothèses'!$D$5)^L62-1)))</f>
        <v>178.53639828909797</v>
      </c>
      <c r="O62">
        <f>O58</f>
        <v>2013</v>
      </c>
      <c r="P62">
        <f t="shared" si="4"/>
        <v>9</v>
      </c>
      <c r="Q62" s="29">
        <f t="shared" si="8"/>
        <v>0.25714285714285712</v>
      </c>
      <c r="R62" s="3"/>
      <c r="S62" s="3"/>
    </row>
    <row r="63" spans="1:19" x14ac:dyDescent="0.25">
      <c r="A63" t="s">
        <v>1439</v>
      </c>
      <c r="B63" t="s">
        <v>1440</v>
      </c>
      <c r="C63" t="str">
        <f t="shared" si="17"/>
        <v>Concession Building - Electrical</v>
      </c>
      <c r="D63" t="str">
        <f>A63&amp;".E"</f>
        <v>B0009.E</v>
      </c>
      <c r="E63" t="s">
        <v>1441</v>
      </c>
      <c r="F63" s="10">
        <v>0.08</v>
      </c>
      <c r="G63" s="36">
        <f>F63*G58</f>
        <v>40000</v>
      </c>
      <c r="H63">
        <v>25</v>
      </c>
      <c r="I63">
        <v>20</v>
      </c>
      <c r="J63">
        <f t="shared" si="0"/>
        <v>3</v>
      </c>
      <c r="K63" s="35">
        <f t="shared" si="1"/>
        <v>120000</v>
      </c>
      <c r="L63">
        <f t="shared" si="2"/>
        <v>75</v>
      </c>
      <c r="M63" s="6">
        <f t="shared" si="6"/>
        <v>2000</v>
      </c>
      <c r="N63" s="6">
        <f>(K63/(1+'Autres hypothèses'!$D$5))*('Autres hypothèses'!$D$5/(((1+'Autres hypothèses'!$D$5)^L63-1)))</f>
        <v>1071.2183897345878</v>
      </c>
      <c r="O63">
        <f>O58</f>
        <v>2013</v>
      </c>
      <c r="P63">
        <f t="shared" si="4"/>
        <v>9</v>
      </c>
      <c r="Q63" s="29">
        <f t="shared" si="8"/>
        <v>0.45</v>
      </c>
      <c r="R63" s="3"/>
      <c r="S63" s="3"/>
    </row>
    <row r="64" spans="1:19" x14ac:dyDescent="0.25">
      <c r="A64" t="s">
        <v>1442</v>
      </c>
      <c r="B64" t="s">
        <v>1443</v>
      </c>
      <c r="C64" t="str">
        <f t="shared" si="17"/>
        <v>Concession Building - Floor Coverings</v>
      </c>
      <c r="D64" t="str">
        <f>A64&amp;".F"</f>
        <v>B0009.F</v>
      </c>
      <c r="E64" t="s">
        <v>1444</v>
      </c>
      <c r="F64" s="10">
        <v>0.03</v>
      </c>
      <c r="G64" s="36">
        <f>F64*G58</f>
        <v>15000</v>
      </c>
      <c r="H64">
        <v>25</v>
      </c>
      <c r="I64">
        <v>20</v>
      </c>
      <c r="J64">
        <f t="shared" si="0"/>
        <v>3</v>
      </c>
      <c r="K64" s="35">
        <f t="shared" si="1"/>
        <v>45000</v>
      </c>
      <c r="L64">
        <f t="shared" si="2"/>
        <v>75</v>
      </c>
      <c r="M64" s="6">
        <f t="shared" si="6"/>
        <v>750</v>
      </c>
      <c r="N64" s="6">
        <f>(K64/(1+'Autres hypothèses'!$D$5))*('Autres hypothèses'!$D$5/(((1+'Autres hypothèses'!$D$5)^L64-1)))</f>
        <v>401.70689615047047</v>
      </c>
      <c r="O64">
        <f>O58</f>
        <v>2013</v>
      </c>
      <c r="P64">
        <f t="shared" si="4"/>
        <v>9</v>
      </c>
      <c r="Q64" s="29">
        <f t="shared" si="8"/>
        <v>0.45</v>
      </c>
      <c r="R64" s="3"/>
      <c r="S64" s="3"/>
    </row>
    <row r="65" spans="1:19" x14ac:dyDescent="0.25">
      <c r="A65" s="33" t="s">
        <v>1445</v>
      </c>
      <c r="B65" s="33"/>
      <c r="C65" s="33" t="s">
        <v>1446</v>
      </c>
      <c r="D65" s="33"/>
      <c r="E65" s="33" t="s">
        <v>1447</v>
      </c>
      <c r="F65" s="33"/>
      <c r="G65" s="34">
        <v>500000</v>
      </c>
      <c r="H65">
        <v>100</v>
      </c>
      <c r="I65">
        <v>75</v>
      </c>
      <c r="J65">
        <f t="shared" si="0"/>
        <v>1</v>
      </c>
      <c r="K65" s="35">
        <f t="shared" si="1"/>
        <v>500000</v>
      </c>
      <c r="L65">
        <f t="shared" si="2"/>
        <v>75</v>
      </c>
      <c r="M65" s="6">
        <f t="shared" si="6"/>
        <v>6666.666666666667</v>
      </c>
      <c r="N65" s="6">
        <f>(K65/(1+'Autres hypothèses'!$D$5))*('Autres hypothèses'!$D$5/(((1+'Autres hypothèses'!$D$5)^L65-1)))</f>
        <v>4463.409957227449</v>
      </c>
      <c r="O65">
        <v>2000</v>
      </c>
      <c r="P65">
        <f t="shared" si="4"/>
        <v>22</v>
      </c>
      <c r="Q65" s="29">
        <f t="shared" si="8"/>
        <v>0.29333333333333333</v>
      </c>
      <c r="R65" s="3">
        <f t="shared" si="7"/>
        <v>146666.66666666666</v>
      </c>
      <c r="S65" s="3">
        <f t="shared" si="10"/>
        <v>353333.33333333337</v>
      </c>
    </row>
    <row r="66" spans="1:19" x14ac:dyDescent="0.25">
      <c r="A66" t="s">
        <v>1448</v>
      </c>
      <c r="B66" t="s">
        <v>1449</v>
      </c>
      <c r="C66" t="str">
        <f>$C$65&amp;" - "&amp;B66</f>
        <v>Entrepôt des travaux publics - Toit</v>
      </c>
      <c r="D66" t="str">
        <f>A66&amp;".A"</f>
        <v>B0010.A</v>
      </c>
      <c r="E66" t="s">
        <v>1450</v>
      </c>
      <c r="F66" s="10">
        <v>7.0000000000000007E-2</v>
      </c>
      <c r="G66" s="36">
        <f>F66*G65</f>
        <v>35000</v>
      </c>
      <c r="H66">
        <v>25</v>
      </c>
      <c r="I66">
        <v>20</v>
      </c>
      <c r="J66">
        <f t="shared" ref="J66:J78" si="18">ROUNDDOWN($I$2/I66,0)</f>
        <v>3</v>
      </c>
      <c r="K66" s="35">
        <f t="shared" si="1"/>
        <v>105000</v>
      </c>
      <c r="L66">
        <f t="shared" si="2"/>
        <v>75</v>
      </c>
      <c r="M66" s="6">
        <f t="shared" si="6"/>
        <v>1750</v>
      </c>
      <c r="N66" s="6">
        <f>(K66/(1+'Autres hypothèses'!$D$5))*('Autres hypothèses'!$D$5/(((1+'Autres hypothèses'!$D$5)^L66-1)))</f>
        <v>937.31609101776439</v>
      </c>
      <c r="O66">
        <f>O65+I66</f>
        <v>2020</v>
      </c>
      <c r="P66">
        <f t="shared" si="4"/>
        <v>2</v>
      </c>
      <c r="Q66" s="29">
        <f t="shared" si="8"/>
        <v>0.1</v>
      </c>
      <c r="R66" s="3"/>
      <c r="S66" s="3"/>
    </row>
    <row r="67" spans="1:19" x14ac:dyDescent="0.25">
      <c r="A67" t="s">
        <v>1451</v>
      </c>
      <c r="B67" t="s">
        <v>1452</v>
      </c>
      <c r="C67" t="str">
        <f t="shared" ref="C67:C70" si="19">$C$65&amp;" - "&amp;B67</f>
        <v>Entrepôt des travaux publics - Systèmes mécaniques</v>
      </c>
      <c r="D67" t="str">
        <f>A67&amp;".B"</f>
        <v>B0010.B</v>
      </c>
      <c r="E67" t="s">
        <v>1453</v>
      </c>
      <c r="F67" s="10">
        <v>0.16</v>
      </c>
      <c r="G67" s="36">
        <f>F67*G65</f>
        <v>80000</v>
      </c>
      <c r="H67">
        <v>24</v>
      </c>
      <c r="I67">
        <v>20</v>
      </c>
      <c r="J67">
        <f t="shared" si="18"/>
        <v>3</v>
      </c>
      <c r="K67" s="35">
        <f t="shared" ref="K67:K78" si="20">G67*J67</f>
        <v>240000</v>
      </c>
      <c r="L67">
        <f t="shared" ref="L67:L78" si="21">L66</f>
        <v>75</v>
      </c>
      <c r="M67" s="6">
        <f t="shared" si="6"/>
        <v>4000</v>
      </c>
      <c r="N67" s="6">
        <f>(K67/(1+'Autres hypothèses'!$D$5))*('Autres hypothèses'!$D$5/(((1+'Autres hypothèses'!$D$5)^L67-1)))</f>
        <v>2142.4367794691757</v>
      </c>
      <c r="O67">
        <f>O65+I67</f>
        <v>2020</v>
      </c>
      <c r="P67">
        <f t="shared" si="4"/>
        <v>2</v>
      </c>
      <c r="Q67" s="29">
        <f t="shared" si="8"/>
        <v>0.1</v>
      </c>
      <c r="R67" s="3"/>
      <c r="S67" s="3"/>
    </row>
    <row r="68" spans="1:19" x14ac:dyDescent="0.25">
      <c r="A68" t="s">
        <v>1454</v>
      </c>
      <c r="B68" t="s">
        <v>1455</v>
      </c>
      <c r="C68" t="str">
        <f t="shared" si="19"/>
        <v>Public Works Storage - Windows</v>
      </c>
      <c r="D68" t="str">
        <f>A68&amp;".C"</f>
        <v>B0010.C</v>
      </c>
      <c r="E68" t="s">
        <v>1456</v>
      </c>
      <c r="F68" s="10">
        <v>0.02</v>
      </c>
      <c r="G68" s="36">
        <f>F68*G65</f>
        <v>10000</v>
      </c>
      <c r="H68">
        <v>50</v>
      </c>
      <c r="I68">
        <v>40</v>
      </c>
      <c r="J68">
        <f t="shared" si="18"/>
        <v>1</v>
      </c>
      <c r="K68" s="35">
        <f t="shared" si="20"/>
        <v>10000</v>
      </c>
      <c r="L68">
        <f t="shared" si="21"/>
        <v>75</v>
      </c>
      <c r="M68" s="6">
        <f t="shared" si="6"/>
        <v>250</v>
      </c>
      <c r="N68" s="6">
        <f>(K68/(1+'Autres hypothèses'!$D$5))*('Autres hypothèses'!$D$5/(((1+'Autres hypothèses'!$D$5)^L68-1)))</f>
        <v>89.268199144548987</v>
      </c>
      <c r="O68">
        <f>O65</f>
        <v>2000</v>
      </c>
      <c r="P68">
        <f t="shared" ref="P68:P78" si="22">2022-O68</f>
        <v>22</v>
      </c>
      <c r="Q68" s="29">
        <f t="shared" si="8"/>
        <v>0.55000000000000004</v>
      </c>
      <c r="R68" s="3"/>
      <c r="S68" s="3"/>
    </row>
    <row r="69" spans="1:19" x14ac:dyDescent="0.25">
      <c r="A69" t="s">
        <v>1457</v>
      </c>
      <c r="B69" t="s">
        <v>1458</v>
      </c>
      <c r="C69" t="str">
        <f t="shared" si="19"/>
        <v>Public Works Storage - Doors</v>
      </c>
      <c r="D69" t="str">
        <f>A69&amp;".D"</f>
        <v>B0010.D</v>
      </c>
      <c r="E69" t="s">
        <v>1459</v>
      </c>
      <c r="F69" s="10">
        <v>0.02</v>
      </c>
      <c r="G69" s="36">
        <f>F69*G65</f>
        <v>10000</v>
      </c>
      <c r="H69">
        <v>43</v>
      </c>
      <c r="I69">
        <v>35</v>
      </c>
      <c r="J69">
        <f t="shared" si="18"/>
        <v>2</v>
      </c>
      <c r="K69" s="35">
        <f t="shared" si="20"/>
        <v>20000</v>
      </c>
      <c r="L69">
        <f t="shared" si="21"/>
        <v>75</v>
      </c>
      <c r="M69" s="6">
        <f t="shared" si="6"/>
        <v>285.71428571428572</v>
      </c>
      <c r="N69" s="6">
        <f>(K69/(1+'Autres hypothèses'!$D$5))*('Autres hypothèses'!$D$5/(((1+'Autres hypothèses'!$D$5)^L69-1)))</f>
        <v>178.53639828909797</v>
      </c>
      <c r="O69">
        <f>O65</f>
        <v>2000</v>
      </c>
      <c r="P69">
        <f t="shared" si="22"/>
        <v>22</v>
      </c>
      <c r="Q69" s="29">
        <f t="shared" si="8"/>
        <v>0.62857142857142856</v>
      </c>
      <c r="R69" s="3"/>
      <c r="S69" s="3"/>
    </row>
    <row r="70" spans="1:19" x14ac:dyDescent="0.25">
      <c r="A70" t="s">
        <v>1460</v>
      </c>
      <c r="B70" t="s">
        <v>1461</v>
      </c>
      <c r="C70" t="str">
        <f t="shared" si="19"/>
        <v>Public Works Storage - Electrical</v>
      </c>
      <c r="D70" t="str">
        <f>A70&amp;".E"</f>
        <v>B0010.E</v>
      </c>
      <c r="E70" t="s">
        <v>1462</v>
      </c>
      <c r="F70" s="10">
        <v>0.08</v>
      </c>
      <c r="G70" s="36">
        <f>F70*G65</f>
        <v>40000</v>
      </c>
      <c r="H70">
        <v>25</v>
      </c>
      <c r="I70">
        <v>20</v>
      </c>
      <c r="J70">
        <f t="shared" si="18"/>
        <v>3</v>
      </c>
      <c r="K70" s="35">
        <f t="shared" si="20"/>
        <v>120000</v>
      </c>
      <c r="L70">
        <f t="shared" si="21"/>
        <v>75</v>
      </c>
      <c r="M70" s="6">
        <f t="shared" si="6"/>
        <v>2000</v>
      </c>
      <c r="N70" s="6">
        <f>(K70/(1+'Autres hypothèses'!$D$5))*('Autres hypothèses'!$D$5/(((1+'Autres hypothèses'!$D$5)^L70-1)))</f>
        <v>1071.2183897345878</v>
      </c>
      <c r="O70">
        <f>O65+I70</f>
        <v>2020</v>
      </c>
      <c r="P70">
        <f t="shared" si="22"/>
        <v>2</v>
      </c>
      <c r="Q70" s="29">
        <f t="shared" si="8"/>
        <v>0.1</v>
      </c>
      <c r="R70" s="3"/>
      <c r="S70" s="3"/>
    </row>
    <row r="71" spans="1:19" x14ac:dyDescent="0.25">
      <c r="A71" t="s">
        <v>1463</v>
      </c>
      <c r="B71" t="s">
        <v>1464</v>
      </c>
      <c r="C71" t="str">
        <f t="shared" ref="C71" si="23">$C$58&amp;" - "&amp;B71</f>
        <v>Bâtiment de concession - Revêtements de sol</v>
      </c>
      <c r="D71" t="str">
        <f>A71&amp;".F"</f>
        <v>B0010.F</v>
      </c>
      <c r="E71" t="s">
        <v>1465</v>
      </c>
      <c r="F71" s="10">
        <v>0.03</v>
      </c>
      <c r="G71" s="36">
        <f>F71*G65</f>
        <v>15000</v>
      </c>
      <c r="H71">
        <v>25</v>
      </c>
      <c r="I71">
        <v>20</v>
      </c>
      <c r="J71">
        <f t="shared" si="18"/>
        <v>3</v>
      </c>
      <c r="K71" s="35">
        <f t="shared" si="20"/>
        <v>45000</v>
      </c>
      <c r="L71">
        <f t="shared" si="21"/>
        <v>75</v>
      </c>
      <c r="M71" s="6">
        <f t="shared" si="6"/>
        <v>750</v>
      </c>
      <c r="N71" s="6">
        <f>(K71/(1+'Autres hypothèses'!$D$5))*('Autres hypothèses'!$D$5/(((1+'Autres hypothèses'!$D$5)^L71-1)))</f>
        <v>401.70689615047047</v>
      </c>
      <c r="O71">
        <f>O65+I71</f>
        <v>2020</v>
      </c>
      <c r="P71">
        <f t="shared" si="22"/>
        <v>2</v>
      </c>
      <c r="Q71" s="29">
        <f t="shared" si="8"/>
        <v>0.1</v>
      </c>
      <c r="R71" s="3"/>
      <c r="S71" s="3"/>
    </row>
    <row r="72" spans="1:19" x14ac:dyDescent="0.25">
      <c r="A72" s="33" t="s">
        <v>1466</v>
      </c>
      <c r="B72" s="33"/>
      <c r="C72" s="33" t="s">
        <v>1467</v>
      </c>
      <c r="D72" s="33"/>
      <c r="E72" s="33" t="s">
        <v>1468</v>
      </c>
      <c r="F72" s="33"/>
      <c r="G72" s="34">
        <v>600000</v>
      </c>
      <c r="H72">
        <v>100</v>
      </c>
      <c r="I72">
        <v>75</v>
      </c>
      <c r="J72">
        <f t="shared" si="18"/>
        <v>1</v>
      </c>
      <c r="K72" s="35">
        <f t="shared" si="20"/>
        <v>600000</v>
      </c>
      <c r="L72">
        <f t="shared" si="21"/>
        <v>75</v>
      </c>
      <c r="M72" s="6">
        <f t="shared" si="6"/>
        <v>8000</v>
      </c>
      <c r="N72" s="6">
        <f>(K72/(1+'Autres hypothèses'!$D$5))*('Autres hypothèses'!$D$5/(((1+'Autres hypothèses'!$D$5)^L72-1)))</f>
        <v>5356.091948672939</v>
      </c>
      <c r="O72">
        <v>2001</v>
      </c>
      <c r="P72">
        <f t="shared" si="22"/>
        <v>21</v>
      </c>
      <c r="Q72" s="29">
        <f t="shared" si="8"/>
        <v>0.28000000000000003</v>
      </c>
      <c r="R72" s="3">
        <f t="shared" ref="R72" si="24">Q72*G72</f>
        <v>168000.00000000003</v>
      </c>
      <c r="S72" s="3">
        <f t="shared" si="10"/>
        <v>432000</v>
      </c>
    </row>
    <row r="73" spans="1:19" x14ac:dyDescent="0.25">
      <c r="A73" t="s">
        <v>1469</v>
      </c>
      <c r="B73" t="s">
        <v>1470</v>
      </c>
      <c r="C73" t="str">
        <f>$C$72&amp;" - "&amp;B73</f>
        <v>Garage de mécanique automobile - Toit</v>
      </c>
      <c r="D73" t="str">
        <f>A73&amp;".A"</f>
        <v>B0011.A</v>
      </c>
      <c r="E73" t="s">
        <v>1471</v>
      </c>
      <c r="F73" s="10">
        <v>7.0000000000000007E-2</v>
      </c>
      <c r="G73" s="36">
        <f>F73*G72</f>
        <v>42000.000000000007</v>
      </c>
      <c r="H73">
        <v>25</v>
      </c>
      <c r="I73">
        <v>20</v>
      </c>
      <c r="J73">
        <f t="shared" si="18"/>
        <v>3</v>
      </c>
      <c r="K73" s="35">
        <f t="shared" si="20"/>
        <v>126000.00000000003</v>
      </c>
      <c r="L73">
        <f t="shared" si="21"/>
        <v>75</v>
      </c>
      <c r="M73" s="6">
        <f t="shared" ref="M73:M78" si="25">G73/I73</f>
        <v>2100.0000000000005</v>
      </c>
      <c r="N73" s="6">
        <f>(K73/(1+'Autres hypothèses'!$D$5))*('Autres hypothèses'!$D$5/(((1+'Autres hypothèses'!$D$5)^L73-1)))</f>
        <v>1124.7793092213176</v>
      </c>
      <c r="O73">
        <f>O72+I73</f>
        <v>2021</v>
      </c>
      <c r="P73">
        <f t="shared" si="22"/>
        <v>1</v>
      </c>
      <c r="Q73" s="29">
        <f t="shared" si="8"/>
        <v>0.05</v>
      </c>
      <c r="R73" s="3"/>
      <c r="S73" s="3"/>
    </row>
    <row r="74" spans="1:19" x14ac:dyDescent="0.25">
      <c r="A74" t="s">
        <v>1472</v>
      </c>
      <c r="B74" t="s">
        <v>1473</v>
      </c>
      <c r="C74" t="str">
        <f t="shared" ref="C74:C78" si="26">$C$72&amp;" - "&amp;B74</f>
        <v>Garage de mécanique automobile - Systèmes mécaniques</v>
      </c>
      <c r="D74" t="str">
        <f>A74&amp;".B"</f>
        <v>B0011.B</v>
      </c>
      <c r="E74" t="s">
        <v>1474</v>
      </c>
      <c r="F74" s="10">
        <v>0.16</v>
      </c>
      <c r="G74" s="36">
        <f>F74*G72</f>
        <v>96000</v>
      </c>
      <c r="H74">
        <v>24</v>
      </c>
      <c r="I74">
        <v>20</v>
      </c>
      <c r="J74">
        <f t="shared" si="18"/>
        <v>3</v>
      </c>
      <c r="K74" s="35">
        <f t="shared" si="20"/>
        <v>288000</v>
      </c>
      <c r="L74">
        <f t="shared" si="21"/>
        <v>75</v>
      </c>
      <c r="M74" s="6">
        <f t="shared" si="25"/>
        <v>4800</v>
      </c>
      <c r="N74" s="6">
        <f>(K74/(1+'Autres hypothèses'!$D$5))*('Autres hypothèses'!$D$5/(((1+'Autres hypothèses'!$D$5)^L74-1)))</f>
        <v>2570.9241353630109</v>
      </c>
      <c r="O74">
        <f>O72+I74</f>
        <v>2021</v>
      </c>
      <c r="P74">
        <f t="shared" si="22"/>
        <v>1</v>
      </c>
      <c r="Q74" s="29">
        <f t="shared" ref="Q74:Q78" si="27">P74/I74</f>
        <v>0.05</v>
      </c>
      <c r="R74" s="3"/>
      <c r="S74" s="3"/>
    </row>
    <row r="75" spans="1:19" x14ac:dyDescent="0.25">
      <c r="A75" t="s">
        <v>1475</v>
      </c>
      <c r="B75" t="s">
        <v>1476</v>
      </c>
      <c r="C75" t="str">
        <f t="shared" si="26"/>
        <v>Mechanic's Garage - Windows</v>
      </c>
      <c r="D75" t="str">
        <f>A75&amp;".C"</f>
        <v>B0011.C</v>
      </c>
      <c r="E75" t="s">
        <v>1477</v>
      </c>
      <c r="F75" s="10">
        <v>0.02</v>
      </c>
      <c r="G75" s="36">
        <f>F75*G72</f>
        <v>12000</v>
      </c>
      <c r="H75">
        <v>50</v>
      </c>
      <c r="I75">
        <v>40</v>
      </c>
      <c r="J75">
        <f t="shared" si="18"/>
        <v>1</v>
      </c>
      <c r="K75" s="35">
        <f t="shared" si="20"/>
        <v>12000</v>
      </c>
      <c r="L75">
        <f t="shared" si="21"/>
        <v>75</v>
      </c>
      <c r="M75" s="6">
        <f t="shared" si="25"/>
        <v>300</v>
      </c>
      <c r="N75" s="6">
        <f>(K75/(1+'Autres hypothèses'!$D$5))*('Autres hypothèses'!$D$5/(((1+'Autres hypothèses'!$D$5)^L75-1)))</f>
        <v>107.12183897345878</v>
      </c>
      <c r="O75">
        <f>O72</f>
        <v>2001</v>
      </c>
      <c r="P75">
        <f t="shared" si="22"/>
        <v>21</v>
      </c>
      <c r="Q75" s="29">
        <f t="shared" si="27"/>
        <v>0.52500000000000002</v>
      </c>
      <c r="R75" s="3"/>
      <c r="S75" s="3"/>
    </row>
    <row r="76" spans="1:19" x14ac:dyDescent="0.25">
      <c r="A76" t="s">
        <v>1478</v>
      </c>
      <c r="B76" t="s">
        <v>1479</v>
      </c>
      <c r="C76" t="str">
        <f t="shared" si="26"/>
        <v>Mechanic's Garage - Doors</v>
      </c>
      <c r="D76" t="str">
        <f>A76&amp;".D"</f>
        <v>B0011.D</v>
      </c>
      <c r="E76" t="s">
        <v>1480</v>
      </c>
      <c r="F76" s="10">
        <v>0.02</v>
      </c>
      <c r="G76" s="36">
        <f>F76*G72</f>
        <v>12000</v>
      </c>
      <c r="H76">
        <v>43</v>
      </c>
      <c r="I76">
        <v>35</v>
      </c>
      <c r="J76">
        <f t="shared" si="18"/>
        <v>2</v>
      </c>
      <c r="K76" s="35">
        <f t="shared" si="20"/>
        <v>24000</v>
      </c>
      <c r="L76">
        <f t="shared" si="21"/>
        <v>75</v>
      </c>
      <c r="M76" s="6">
        <f t="shared" si="25"/>
        <v>342.85714285714283</v>
      </c>
      <c r="N76" s="6">
        <f>(K76/(1+'Autres hypothèses'!$D$5))*('Autres hypothèses'!$D$5/(((1+'Autres hypothèses'!$D$5)^L76-1)))</f>
        <v>214.24367794691756</v>
      </c>
      <c r="O76">
        <f>O72</f>
        <v>2001</v>
      </c>
      <c r="P76">
        <f t="shared" si="22"/>
        <v>21</v>
      </c>
      <c r="Q76" s="29">
        <f t="shared" si="27"/>
        <v>0.6</v>
      </c>
      <c r="R76" s="3"/>
      <c r="S76" s="3"/>
    </row>
    <row r="77" spans="1:19" x14ac:dyDescent="0.25">
      <c r="A77" t="s">
        <v>1481</v>
      </c>
      <c r="B77" t="s">
        <v>1482</v>
      </c>
      <c r="C77" t="str">
        <f t="shared" si="26"/>
        <v>Mechanic's Garage - Electrical</v>
      </c>
      <c r="D77" t="str">
        <f>A77&amp;".E"</f>
        <v>B0011.E</v>
      </c>
      <c r="E77" t="s">
        <v>1483</v>
      </c>
      <c r="F77" s="10">
        <v>0.08</v>
      </c>
      <c r="G77" s="36">
        <f>F77*G72</f>
        <v>48000</v>
      </c>
      <c r="H77">
        <v>25</v>
      </c>
      <c r="I77">
        <v>20</v>
      </c>
      <c r="J77">
        <f t="shared" si="18"/>
        <v>3</v>
      </c>
      <c r="K77" s="35">
        <f t="shared" si="20"/>
        <v>144000</v>
      </c>
      <c r="L77">
        <f t="shared" si="21"/>
        <v>75</v>
      </c>
      <c r="M77" s="6">
        <f t="shared" si="25"/>
        <v>2400</v>
      </c>
      <c r="N77" s="6">
        <f>(K77/(1+'Autres hypothèses'!$D$5))*('Autres hypothèses'!$D$5/(((1+'Autres hypothèses'!$D$5)^L77-1)))</f>
        <v>1285.4620676815055</v>
      </c>
      <c r="O77">
        <f>O72+I77</f>
        <v>2021</v>
      </c>
      <c r="P77">
        <f t="shared" si="22"/>
        <v>1</v>
      </c>
      <c r="Q77" s="29">
        <f t="shared" si="27"/>
        <v>0.05</v>
      </c>
      <c r="R77" s="3"/>
      <c r="S77" s="3"/>
    </row>
    <row r="78" spans="1:19" x14ac:dyDescent="0.25">
      <c r="A78" t="s">
        <v>1484</v>
      </c>
      <c r="B78" t="s">
        <v>1485</v>
      </c>
      <c r="C78" t="str">
        <f t="shared" si="26"/>
        <v>Mechanic's Garage - Floor Coverings</v>
      </c>
      <c r="D78" t="str">
        <f>A78&amp;".F"</f>
        <v>B0011.F</v>
      </c>
      <c r="E78" t="s">
        <v>1486</v>
      </c>
      <c r="F78" s="10">
        <v>0.03</v>
      </c>
      <c r="G78" s="36">
        <f>F78*G72</f>
        <v>18000</v>
      </c>
      <c r="H78">
        <v>25</v>
      </c>
      <c r="I78">
        <v>20</v>
      </c>
      <c r="J78">
        <f t="shared" si="18"/>
        <v>3</v>
      </c>
      <c r="K78" s="35">
        <f t="shared" si="20"/>
        <v>54000</v>
      </c>
      <c r="L78">
        <f t="shared" si="21"/>
        <v>75</v>
      </c>
      <c r="M78" s="6">
        <f t="shared" si="25"/>
        <v>900</v>
      </c>
      <c r="N78" s="6">
        <f>(K78/(1+'Autres hypothèses'!$D$5))*('Autres hypothèses'!$D$5/(((1+'Autres hypothèses'!$D$5)^L78-1)))</f>
        <v>482.04827538056452</v>
      </c>
      <c r="O78">
        <f>O72+I78</f>
        <v>2021</v>
      </c>
      <c r="P78">
        <f t="shared" si="22"/>
        <v>1</v>
      </c>
      <c r="Q78" s="29">
        <f t="shared" si="27"/>
        <v>0.05</v>
      </c>
      <c r="R78" s="3"/>
      <c r="S78" s="3"/>
    </row>
    <row r="79" spans="1:19" x14ac:dyDescent="0.25">
      <c r="S79" s="3"/>
    </row>
    <row r="80" spans="1:19" x14ac:dyDescent="0.25">
      <c r="G80" s="3">
        <f>SUM(G2:G79)</f>
        <v>71898000</v>
      </c>
      <c r="K80" s="3">
        <f>SUM(K2:K79)</f>
        <v>108368000</v>
      </c>
      <c r="M80" s="3">
        <f>SUM(M2:M79)</f>
        <v>1599473.8095238095</v>
      </c>
      <c r="N80" s="3">
        <f>SUM(N2:N79)</f>
        <v>967381.62048964854</v>
      </c>
      <c r="R80" s="3">
        <f>SUM(R2:R79)</f>
        <v>30508000.000000004</v>
      </c>
      <c r="S80" s="3">
        <f>SUM(S2:S79)</f>
        <v>21591999.999999996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A23D-94B0-440C-9A1E-12B5DA2583D0}">
  <dimension ref="A1:Y252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3" sqref="J3:J250"/>
    </sheetView>
  </sheetViews>
  <sheetFormatPr defaultColWidth="9.140625" defaultRowHeight="15" x14ac:dyDescent="0.25"/>
  <cols>
    <col min="1" max="1" width="7.5703125" customWidth="1"/>
    <col min="2" max="2" width="12.42578125" bestFit="1" customWidth="1"/>
    <col min="3" max="6" width="15.85546875" customWidth="1"/>
    <col min="7" max="7" width="8.5703125" bestFit="1" customWidth="1"/>
    <col min="8" max="8" width="6.42578125" bestFit="1" customWidth="1"/>
    <col min="9" max="9" width="15.85546875" bestFit="1" customWidth="1"/>
    <col min="10" max="10" width="13.28515625" customWidth="1"/>
    <col min="11" max="14" width="15.85546875" customWidth="1"/>
    <col min="15" max="15" width="10.7109375" bestFit="1" customWidth="1"/>
    <col min="16" max="16" width="9.42578125" bestFit="1" customWidth="1"/>
    <col min="17" max="17" width="10.7109375" bestFit="1" customWidth="1"/>
    <col min="18" max="18" width="9.42578125" bestFit="1" customWidth="1"/>
    <col min="19" max="20" width="20" customWidth="1"/>
    <col min="21" max="21" width="12.140625" bestFit="1" customWidth="1"/>
    <col min="22" max="22" width="3.85546875" bestFit="1" customWidth="1"/>
    <col min="23" max="23" width="11.5703125" bestFit="1" customWidth="1"/>
    <col min="24" max="24" width="11.140625" bestFit="1" customWidth="1"/>
    <col min="25" max="25" width="14.7109375" bestFit="1" customWidth="1"/>
  </cols>
  <sheetData>
    <row r="1" spans="1:25" ht="75" x14ac:dyDescent="0.25">
      <c r="A1" s="8" t="s">
        <v>1487</v>
      </c>
      <c r="B1" s="8" t="s">
        <v>132</v>
      </c>
      <c r="C1" s="9" t="s">
        <v>445</v>
      </c>
      <c r="D1" s="9" t="s">
        <v>446</v>
      </c>
      <c r="E1" s="9" t="s">
        <v>447</v>
      </c>
      <c r="F1" s="9" t="s">
        <v>448</v>
      </c>
      <c r="G1" s="8" t="s">
        <v>449</v>
      </c>
      <c r="H1" s="8" t="s">
        <v>159</v>
      </c>
      <c r="I1" s="9" t="s">
        <v>450</v>
      </c>
      <c r="J1" s="9" t="s">
        <v>451</v>
      </c>
      <c r="K1" s="9" t="s">
        <v>452</v>
      </c>
      <c r="L1" s="9" t="s">
        <v>453</v>
      </c>
      <c r="M1" s="9" t="s">
        <v>454</v>
      </c>
      <c r="N1" s="9" t="s">
        <v>455</v>
      </c>
      <c r="O1" s="8" t="s">
        <v>456</v>
      </c>
      <c r="P1" s="8" t="s">
        <v>457</v>
      </c>
      <c r="Q1" s="8" t="s">
        <v>458</v>
      </c>
      <c r="R1" s="8" t="s">
        <v>459</v>
      </c>
      <c r="S1" s="9" t="s">
        <v>1488</v>
      </c>
      <c r="T1" s="9" t="s">
        <v>1489</v>
      </c>
      <c r="U1" s="8" t="s">
        <v>1490</v>
      </c>
      <c r="V1" s="8" t="s">
        <v>1491</v>
      </c>
      <c r="W1" s="9" t="s">
        <v>1492</v>
      </c>
      <c r="X1" s="9" t="s">
        <v>1493</v>
      </c>
      <c r="Y1" s="9" t="s">
        <v>1494</v>
      </c>
    </row>
    <row r="2" spans="1:25" x14ac:dyDescent="0.25">
      <c r="A2" s="20" t="s">
        <v>460</v>
      </c>
      <c r="B2" s="5" t="s">
        <v>461</v>
      </c>
      <c r="C2" s="5" t="s">
        <v>146</v>
      </c>
      <c r="D2" s="5" t="s">
        <v>462</v>
      </c>
      <c r="E2" s="5" t="s">
        <v>463</v>
      </c>
      <c r="F2" s="5" t="s">
        <v>464</v>
      </c>
      <c r="G2" s="5">
        <v>1791.2636400199899</v>
      </c>
      <c r="H2" s="5">
        <v>164.11577478491799</v>
      </c>
      <c r="I2" s="19">
        <f>VLOOKUP("Couche de base",'Taux unitaires'!$B$9:$C$11,2,FALSE)</f>
        <v>200</v>
      </c>
      <c r="J2" s="19">
        <f>VLOOKUP("Revêtement de route",'Taux unitaires'!$B$9:$C$11,2,FALSE)</f>
        <v>101</v>
      </c>
      <c r="K2" s="19">
        <f>I2*G2</f>
        <v>358252.728003998</v>
      </c>
      <c r="L2" s="19">
        <f>J2*G2</f>
        <v>180917.62764201898</v>
      </c>
      <c r="M2" s="19">
        <f>(ROUNDDOWN(P2/R2,0)-1)*L2</f>
        <v>361835.25528403796</v>
      </c>
      <c r="N2" s="19">
        <f>K2+M2</f>
        <v>720087.98328803596</v>
      </c>
      <c r="O2" s="5">
        <f>VLOOKUP(C2,'Durée de vie utile'!$B$15:$E$18,4,FALSE)</f>
        <v>125</v>
      </c>
      <c r="P2" s="5">
        <f>VLOOKUP(C2,'Durée de vie utile'!$B$15:$E$18,3,FALSE)</f>
        <v>100</v>
      </c>
      <c r="Q2" s="5">
        <f>VLOOKUP(C2,'Durée de vie utile'!$B$26:$E$29,4,FALSE)</f>
        <v>50</v>
      </c>
      <c r="R2" s="5">
        <f>VLOOKUP(C2,'Durée de vie utile'!$B$26:$E$29,3,FALSE)</f>
        <v>30</v>
      </c>
      <c r="S2" s="6">
        <f>N2/P2</f>
        <v>7200.8798328803596</v>
      </c>
      <c r="T2" s="6">
        <f>(N2/(1+'Autres hypothèses'!$D$5))*('Autres hypothèses'!$D$5/(((1+'Autres hypothèses'!$D$5)^Routes!P2-1)))</f>
        <v>4182.0308293545668</v>
      </c>
      <c r="U2" s="5">
        <v>1953</v>
      </c>
      <c r="V2" s="5">
        <f t="shared" ref="V2:V65" si="0">2022-U2</f>
        <v>69</v>
      </c>
      <c r="W2" s="1">
        <f t="shared" ref="W2:W65" si="1">V2/P2</f>
        <v>0.69</v>
      </c>
      <c r="X2" s="3">
        <f t="shared" ref="X2:X65" si="2">W2*I2</f>
        <v>138</v>
      </c>
      <c r="Y2" s="3">
        <f t="shared" ref="Y2:Y65" si="3">I2-X2</f>
        <v>62</v>
      </c>
    </row>
    <row r="3" spans="1:25" x14ac:dyDescent="0.25">
      <c r="A3" s="20" t="s">
        <v>465</v>
      </c>
      <c r="B3" s="5" t="s">
        <v>1495</v>
      </c>
      <c r="C3" s="5" t="s">
        <v>147</v>
      </c>
      <c r="D3" s="5" t="s">
        <v>466</v>
      </c>
      <c r="E3" s="5" t="s">
        <v>467</v>
      </c>
      <c r="F3" s="5" t="s">
        <v>468</v>
      </c>
      <c r="G3" s="5">
        <v>2952.4</v>
      </c>
      <c r="H3" s="5">
        <v>356</v>
      </c>
      <c r="I3" s="19">
        <f>VLOOKUP("Couche de base",'Taux unitaires'!$B$9:$C$11,2,FALSE)</f>
        <v>200</v>
      </c>
      <c r="J3" s="19">
        <f>VLOOKUP("Revêtement de route",'Taux unitaires'!$B$9:$C$11,2,FALSE)</f>
        <v>101</v>
      </c>
      <c r="K3" s="19">
        <f t="shared" ref="K3:K66" si="4">I3*G3</f>
        <v>590480</v>
      </c>
      <c r="L3" s="19">
        <f t="shared" ref="L3:L66" si="5">J3*G3</f>
        <v>298192.40000000002</v>
      </c>
      <c r="M3" s="19">
        <f t="shared" ref="M3:M66" si="6">(ROUNDDOWN(P3/R3,0)-1)*L3</f>
        <v>596384.80000000005</v>
      </c>
      <c r="N3" s="19">
        <f t="shared" ref="N3:N66" si="7">K3+M3</f>
        <v>1186864.8</v>
      </c>
      <c r="O3" s="5">
        <f>VLOOKUP(C3,'Durée de vie utile'!$B$15:$E$18,4,FALSE)</f>
        <v>100</v>
      </c>
      <c r="P3" s="5">
        <f>VLOOKUP(C3,'Durée de vie utile'!$B$15:$E$18,3,FALSE)</f>
        <v>80</v>
      </c>
      <c r="Q3" s="5">
        <f>VLOOKUP(C3,'Durée de vie utile'!$B$26:$E$29,4,FALSE)</f>
        <v>40</v>
      </c>
      <c r="R3" s="5">
        <f>VLOOKUP(C3,'Durée de vie utile'!$B$26:$E$29,3,FALSE)</f>
        <v>25</v>
      </c>
      <c r="S3" s="6">
        <f t="shared" ref="S3:S66" si="8">N3/P3</f>
        <v>14835.810000000001</v>
      </c>
      <c r="T3" s="6">
        <f>(N3/(1+'Autres hypothèses'!$D$5))*('Autres hypothèses'!$D$5/(((1+'Autres hypothèses'!$D$5)^Routes!P3-1)))</f>
        <v>9658.083064631548</v>
      </c>
      <c r="U3" s="5">
        <v>1953</v>
      </c>
      <c r="V3" s="5">
        <f t="shared" si="0"/>
        <v>69</v>
      </c>
      <c r="W3" s="1">
        <f t="shared" si="1"/>
        <v>0.86250000000000004</v>
      </c>
      <c r="X3" s="3">
        <f t="shared" si="2"/>
        <v>172.5</v>
      </c>
      <c r="Y3" s="3">
        <f t="shared" si="3"/>
        <v>27.5</v>
      </c>
    </row>
    <row r="4" spans="1:25" x14ac:dyDescent="0.25">
      <c r="A4" s="20" t="s">
        <v>469</v>
      </c>
      <c r="B4" s="5" t="s">
        <v>1496</v>
      </c>
      <c r="C4" s="5" t="s">
        <v>148</v>
      </c>
      <c r="D4" s="5" t="s">
        <v>470</v>
      </c>
      <c r="E4" s="5" t="s">
        <v>1497</v>
      </c>
      <c r="F4" s="5" t="s">
        <v>471</v>
      </c>
      <c r="G4" s="5">
        <v>3633.9338776899899</v>
      </c>
      <c r="H4" s="5">
        <v>404.04417347522701</v>
      </c>
      <c r="I4" s="19">
        <f>VLOOKUP("Couche de base",'Taux unitaires'!$B$9:$C$11,2,FALSE)</f>
        <v>200</v>
      </c>
      <c r="J4" s="19">
        <f>VLOOKUP("Revêtement de route",'Taux unitaires'!$B$9:$C$11,2,FALSE)</f>
        <v>101</v>
      </c>
      <c r="K4" s="19">
        <f t="shared" si="4"/>
        <v>726786.77553799795</v>
      </c>
      <c r="L4" s="19">
        <f t="shared" si="5"/>
        <v>367027.32164668897</v>
      </c>
      <c r="M4" s="19">
        <f t="shared" si="6"/>
        <v>367027.32164668897</v>
      </c>
      <c r="N4" s="19">
        <f t="shared" si="7"/>
        <v>1093814.0971846869</v>
      </c>
      <c r="O4" s="5">
        <f>VLOOKUP(C4,'Durée de vie utile'!$B$15:$E$18,4,FALSE)</f>
        <v>90</v>
      </c>
      <c r="P4" s="5">
        <f>VLOOKUP(C4,'Durée de vie utile'!$B$15:$E$18,3,FALSE)</f>
        <v>60</v>
      </c>
      <c r="Q4" s="5">
        <f>VLOOKUP(C4,'Durée de vie utile'!$B$26:$E$29,4,FALSE)</f>
        <v>30</v>
      </c>
      <c r="R4" s="5">
        <f>VLOOKUP(C4,'Durée de vie utile'!$B$26:$E$29,3,FALSE)</f>
        <v>25</v>
      </c>
      <c r="S4" s="6">
        <f t="shared" si="8"/>
        <v>18230.234953078114</v>
      </c>
      <c r="T4" s="6">
        <f>(N4/(1+'Autres hypothèses'!$D$5))*('Autres hypothèses'!$D$5/(((1+'Autres hypothèses'!$D$5)^Routes!P4-1)))</f>
        <v>13260.54404949104</v>
      </c>
      <c r="U4" s="5">
        <v>1954</v>
      </c>
      <c r="V4" s="5">
        <f t="shared" si="0"/>
        <v>68</v>
      </c>
      <c r="W4" s="1">
        <f t="shared" si="1"/>
        <v>1.1333333333333333</v>
      </c>
      <c r="X4" s="3">
        <f t="shared" si="2"/>
        <v>226.66666666666666</v>
      </c>
      <c r="Y4" s="3">
        <f t="shared" si="3"/>
        <v>-26.666666666666657</v>
      </c>
    </row>
    <row r="5" spans="1:25" x14ac:dyDescent="0.25">
      <c r="A5" s="20" t="s">
        <v>472</v>
      </c>
      <c r="B5" s="5" t="s">
        <v>1498</v>
      </c>
      <c r="C5" s="5" t="s">
        <v>1499</v>
      </c>
      <c r="D5" s="5" t="s">
        <v>473</v>
      </c>
      <c r="E5" s="5" t="s">
        <v>474</v>
      </c>
      <c r="F5" s="5" t="s">
        <v>475</v>
      </c>
      <c r="G5" s="5">
        <v>1399.4</v>
      </c>
      <c r="H5" s="5">
        <v>121.8</v>
      </c>
      <c r="I5" s="19">
        <f>VLOOKUP("Couche de base",'Taux unitaires'!$B$9:$C$11,2,FALSE)</f>
        <v>200</v>
      </c>
      <c r="J5" s="19">
        <f>VLOOKUP("Revêtement de route",'Taux unitaires'!$B$9:$C$11,2,FALSE)</f>
        <v>101</v>
      </c>
      <c r="K5" s="19">
        <f t="shared" si="4"/>
        <v>279880</v>
      </c>
      <c r="L5" s="19">
        <f t="shared" si="5"/>
        <v>141339.40000000002</v>
      </c>
      <c r="M5" s="19">
        <f t="shared" si="6"/>
        <v>282678.80000000005</v>
      </c>
      <c r="N5" s="19">
        <f t="shared" si="7"/>
        <v>562558.80000000005</v>
      </c>
      <c r="O5" s="5">
        <f>VLOOKUP(C5,'Durée de vie utile'!$B$15:$E$18,4,FALSE)</f>
        <v>125</v>
      </c>
      <c r="P5" s="5">
        <f>VLOOKUP(C5,'Durée de vie utile'!$B$15:$E$18,3,FALSE)</f>
        <v>100</v>
      </c>
      <c r="Q5" s="5">
        <f>VLOOKUP(C5,'Durée de vie utile'!$B$26:$E$29,4,FALSE)</f>
        <v>50</v>
      </c>
      <c r="R5" s="5">
        <f>VLOOKUP(C5,'Durée de vie utile'!$B$26:$E$29,3,FALSE)</f>
        <v>30</v>
      </c>
      <c r="S5" s="6">
        <f t="shared" si="8"/>
        <v>5625.5880000000006</v>
      </c>
      <c r="T5" s="6">
        <f>(N5/(1+'Autres hypothèses'!$D$5))*('Autres hypothèses'!$D$5/(((1+'Autres hypothèses'!$D$5)^Routes!P5-1)))</f>
        <v>3267.1538749781525</v>
      </c>
      <c r="U5" s="5">
        <v>1956</v>
      </c>
      <c r="V5" s="5">
        <f t="shared" si="0"/>
        <v>66</v>
      </c>
      <c r="W5" s="1">
        <f t="shared" si="1"/>
        <v>0.66</v>
      </c>
      <c r="X5" s="3">
        <f t="shared" si="2"/>
        <v>132</v>
      </c>
      <c r="Y5" s="3">
        <f t="shared" si="3"/>
        <v>68</v>
      </c>
    </row>
    <row r="6" spans="1:25" x14ac:dyDescent="0.25">
      <c r="A6" s="20" t="s">
        <v>476</v>
      </c>
      <c r="B6" s="5" t="s">
        <v>1500</v>
      </c>
      <c r="C6" s="5" t="s">
        <v>1501</v>
      </c>
      <c r="D6" s="5"/>
      <c r="E6" s="5"/>
      <c r="F6" s="5"/>
      <c r="G6" s="5">
        <v>1924.09006513999</v>
      </c>
      <c r="H6" s="5">
        <v>145.750933364838</v>
      </c>
      <c r="I6" s="19">
        <f>VLOOKUP("Couche de base",'Taux unitaires'!$B$9:$C$11,2,FALSE)</f>
        <v>200</v>
      </c>
      <c r="J6" s="19">
        <f>VLOOKUP("Revêtement de route",'Taux unitaires'!$B$9:$C$11,2,FALSE)</f>
        <v>101</v>
      </c>
      <c r="K6" s="19">
        <f t="shared" si="4"/>
        <v>384818.01302799798</v>
      </c>
      <c r="L6" s="19">
        <f t="shared" si="5"/>
        <v>194333.09657913898</v>
      </c>
      <c r="M6" s="19">
        <f t="shared" si="6"/>
        <v>388666.19315827795</v>
      </c>
      <c r="N6" s="19">
        <f t="shared" si="7"/>
        <v>773484.20618627593</v>
      </c>
      <c r="O6" s="5">
        <f>VLOOKUP(C6,'Durée de vie utile'!$B$15:$E$18,4,FALSE)</f>
        <v>125</v>
      </c>
      <c r="P6" s="5">
        <f>VLOOKUP(C6,'Durée de vie utile'!$B$15:$E$18,3,FALSE)</f>
        <v>100</v>
      </c>
      <c r="Q6" s="5">
        <f>VLOOKUP(C6,'Durée de vie utile'!$B$26:$E$29,4,FALSE)</f>
        <v>50</v>
      </c>
      <c r="R6" s="5">
        <f>VLOOKUP(C6,'Durée de vie utile'!$B$26:$E$29,3,FALSE)</f>
        <v>30</v>
      </c>
      <c r="S6" s="6">
        <f t="shared" si="8"/>
        <v>7734.8420618627597</v>
      </c>
      <c r="T6" s="6">
        <f>(N6/(1+'Autres hypothèses'!$D$5))*('Autres hypothèses'!$D$5/(((1+'Autres hypothèses'!$D$5)^Routes!P6-1)))</f>
        <v>4492.1382822131509</v>
      </c>
      <c r="U6" s="5">
        <v>1956</v>
      </c>
      <c r="V6" s="5">
        <f t="shared" si="0"/>
        <v>66</v>
      </c>
      <c r="W6" s="1">
        <f t="shared" si="1"/>
        <v>0.66</v>
      </c>
      <c r="X6" s="3">
        <f t="shared" si="2"/>
        <v>132</v>
      </c>
      <c r="Y6" s="3">
        <f t="shared" si="3"/>
        <v>68</v>
      </c>
    </row>
    <row r="7" spans="1:25" x14ac:dyDescent="0.25">
      <c r="A7" s="20" t="s">
        <v>477</v>
      </c>
      <c r="B7" s="5" t="s">
        <v>1502</v>
      </c>
      <c r="C7" s="5" t="s">
        <v>1503</v>
      </c>
      <c r="D7" s="5"/>
      <c r="E7" s="5"/>
      <c r="F7" s="5"/>
      <c r="G7" s="5">
        <v>2613.6999999999998</v>
      </c>
      <c r="H7" s="5">
        <v>233.6</v>
      </c>
      <c r="I7" s="19">
        <f>VLOOKUP("Couche de base",'Taux unitaires'!$B$9:$C$11,2,FALSE)</f>
        <v>200</v>
      </c>
      <c r="J7" s="19">
        <f>VLOOKUP("Revêtement de route",'Taux unitaires'!$B$9:$C$11,2,FALSE)</f>
        <v>101</v>
      </c>
      <c r="K7" s="19">
        <f t="shared" si="4"/>
        <v>522739.99999999994</v>
      </c>
      <c r="L7" s="19">
        <f t="shared" si="5"/>
        <v>263983.69999999995</v>
      </c>
      <c r="M7" s="19">
        <f t="shared" si="6"/>
        <v>527967.39999999991</v>
      </c>
      <c r="N7" s="19">
        <f t="shared" si="7"/>
        <v>1050707.3999999999</v>
      </c>
      <c r="O7" s="5">
        <f>VLOOKUP(C7,'Durée de vie utile'!$B$15:$E$18,4,FALSE)</f>
        <v>125</v>
      </c>
      <c r="P7" s="5">
        <f>VLOOKUP(C7,'Durée de vie utile'!$B$15:$E$18,3,FALSE)</f>
        <v>100</v>
      </c>
      <c r="Q7" s="5">
        <f>VLOOKUP(C7,'Durée de vie utile'!$B$26:$E$29,4,FALSE)</f>
        <v>50</v>
      </c>
      <c r="R7" s="5">
        <f>VLOOKUP(C7,'Durée de vie utile'!$B$26:$E$29,3,FALSE)</f>
        <v>30</v>
      </c>
      <c r="S7" s="6">
        <f t="shared" si="8"/>
        <v>10507.073999999999</v>
      </c>
      <c r="T7" s="6">
        <f>(N7/(1+'Autres hypothèses'!$D$5))*('Autres hypothèses'!$D$5/(((1+'Autres hypothèses'!$D$5)^Routes!P7-1)))</f>
        <v>6102.1581270761726</v>
      </c>
      <c r="U7" s="5">
        <v>1956</v>
      </c>
      <c r="V7" s="5">
        <f t="shared" si="0"/>
        <v>66</v>
      </c>
      <c r="W7" s="1">
        <f t="shared" si="1"/>
        <v>0.66</v>
      </c>
      <c r="X7" s="3">
        <f t="shared" si="2"/>
        <v>132</v>
      </c>
      <c r="Y7" s="3">
        <f t="shared" si="3"/>
        <v>68</v>
      </c>
    </row>
    <row r="8" spans="1:25" x14ac:dyDescent="0.25">
      <c r="A8" s="20" t="s">
        <v>478</v>
      </c>
      <c r="B8" s="5" t="s">
        <v>1504</v>
      </c>
      <c r="C8" s="5" t="s">
        <v>1505</v>
      </c>
      <c r="D8" s="5"/>
      <c r="E8" s="5"/>
      <c r="F8" s="5"/>
      <c r="G8" s="5">
        <v>1063.7</v>
      </c>
      <c r="H8" s="5">
        <v>75.5</v>
      </c>
      <c r="I8" s="19">
        <f>VLOOKUP("Couche de base",'Taux unitaires'!$B$9:$C$11,2,FALSE)</f>
        <v>200</v>
      </c>
      <c r="J8" s="19">
        <f>VLOOKUP("Revêtement de route",'Taux unitaires'!$B$9:$C$11,2,FALSE)</f>
        <v>101</v>
      </c>
      <c r="K8" s="19">
        <f t="shared" si="4"/>
        <v>212740</v>
      </c>
      <c r="L8" s="19">
        <f t="shared" si="5"/>
        <v>107433.70000000001</v>
      </c>
      <c r="M8" s="19">
        <f t="shared" si="6"/>
        <v>214867.40000000002</v>
      </c>
      <c r="N8" s="19">
        <f t="shared" si="7"/>
        <v>427607.4</v>
      </c>
      <c r="O8" s="5">
        <f>VLOOKUP(C8,'Durée de vie utile'!$B$15:$E$18,4,FALSE)</f>
        <v>125</v>
      </c>
      <c r="P8" s="5">
        <f>VLOOKUP(C8,'Durée de vie utile'!$B$15:$E$18,3,FALSE)</f>
        <v>100</v>
      </c>
      <c r="Q8" s="5">
        <f>VLOOKUP(C8,'Durée de vie utile'!$B$26:$E$29,4,FALSE)</f>
        <v>50</v>
      </c>
      <c r="R8" s="5">
        <f>VLOOKUP(C8,'Durée de vie utile'!$B$26:$E$29,3,FALSE)</f>
        <v>30</v>
      </c>
      <c r="S8" s="6">
        <f t="shared" si="8"/>
        <v>4276.0740000000005</v>
      </c>
      <c r="T8" s="6">
        <f>(N8/(1+'Autres hypothèses'!$D$5))*('Autres hypothèses'!$D$5/(((1+'Autres hypothèses'!$D$5)^Routes!P8-1)))</f>
        <v>2483.4011553624846</v>
      </c>
      <c r="U8" s="5">
        <v>1956</v>
      </c>
      <c r="V8" s="5">
        <f t="shared" si="0"/>
        <v>66</v>
      </c>
      <c r="W8" s="1">
        <f t="shared" si="1"/>
        <v>0.66</v>
      </c>
      <c r="X8" s="3">
        <f t="shared" si="2"/>
        <v>132</v>
      </c>
      <c r="Y8" s="3">
        <f t="shared" si="3"/>
        <v>68</v>
      </c>
    </row>
    <row r="9" spans="1:25" x14ac:dyDescent="0.25">
      <c r="A9" s="20" t="s">
        <v>479</v>
      </c>
      <c r="B9" s="5" t="s">
        <v>1506</v>
      </c>
      <c r="C9" s="5" t="s">
        <v>1507</v>
      </c>
      <c r="D9" s="5"/>
      <c r="E9" s="5"/>
      <c r="F9" s="5"/>
      <c r="G9" s="5">
        <v>940.3</v>
      </c>
      <c r="H9" s="5">
        <v>51.1</v>
      </c>
      <c r="I9" s="19">
        <f>VLOOKUP("Couche de base",'Taux unitaires'!$B$9:$C$11,2,FALSE)</f>
        <v>200</v>
      </c>
      <c r="J9" s="19">
        <f>VLOOKUP("Revêtement de route",'Taux unitaires'!$B$9:$C$11,2,FALSE)</f>
        <v>101</v>
      </c>
      <c r="K9" s="19">
        <f t="shared" si="4"/>
        <v>188060</v>
      </c>
      <c r="L9" s="19">
        <f t="shared" si="5"/>
        <v>94970.299999999988</v>
      </c>
      <c r="M9" s="19">
        <f t="shared" si="6"/>
        <v>189940.59999999998</v>
      </c>
      <c r="N9" s="19">
        <f t="shared" si="7"/>
        <v>378000.6</v>
      </c>
      <c r="O9" s="5">
        <f>VLOOKUP(C9,'Durée de vie utile'!$B$15:$E$18,4,FALSE)</f>
        <v>125</v>
      </c>
      <c r="P9" s="5">
        <f>VLOOKUP(C9,'Durée de vie utile'!$B$15:$E$18,3,FALSE)</f>
        <v>100</v>
      </c>
      <c r="Q9" s="5">
        <f>VLOOKUP(C9,'Durée de vie utile'!$B$26:$E$29,4,FALSE)</f>
        <v>50</v>
      </c>
      <c r="R9" s="5">
        <f>VLOOKUP(C9,'Durée de vie utile'!$B$26:$E$29,3,FALSE)</f>
        <v>30</v>
      </c>
      <c r="S9" s="6">
        <f t="shared" si="8"/>
        <v>3780.0059999999999</v>
      </c>
      <c r="T9" s="6">
        <f>(N9/(1+'Autres hypothèses'!$D$5))*('Autres hypothèses'!$D$5/(((1+'Autres hypothèses'!$D$5)^Routes!P9-1)))</f>
        <v>2195.3014067757299</v>
      </c>
      <c r="U9" s="5">
        <v>1953</v>
      </c>
      <c r="V9" s="5">
        <f t="shared" si="0"/>
        <v>69</v>
      </c>
      <c r="W9" s="1">
        <f t="shared" si="1"/>
        <v>0.69</v>
      </c>
      <c r="X9" s="3">
        <f t="shared" si="2"/>
        <v>138</v>
      </c>
      <c r="Y9" s="3">
        <f t="shared" si="3"/>
        <v>62</v>
      </c>
    </row>
    <row r="10" spans="1:25" x14ac:dyDescent="0.25">
      <c r="A10" s="20" t="s">
        <v>480</v>
      </c>
      <c r="B10" s="5" t="s">
        <v>1508</v>
      </c>
      <c r="C10" s="5" t="s">
        <v>1509</v>
      </c>
      <c r="D10" s="5"/>
      <c r="E10" s="5"/>
      <c r="F10" s="5"/>
      <c r="G10" s="5">
        <v>598.20000000000005</v>
      </c>
      <c r="H10" s="5">
        <v>47.9</v>
      </c>
      <c r="I10" s="19">
        <f>VLOOKUP("Couche de base",'Taux unitaires'!$B$9:$C$11,2,FALSE)</f>
        <v>200</v>
      </c>
      <c r="J10" s="19">
        <f>VLOOKUP("Revêtement de route",'Taux unitaires'!$B$9:$C$11,2,FALSE)</f>
        <v>101</v>
      </c>
      <c r="K10" s="19">
        <f t="shared" si="4"/>
        <v>119640.00000000001</v>
      </c>
      <c r="L10" s="19">
        <f t="shared" si="5"/>
        <v>60418.200000000004</v>
      </c>
      <c r="M10" s="19">
        <f t="shared" si="6"/>
        <v>120836.40000000001</v>
      </c>
      <c r="N10" s="19">
        <f t="shared" si="7"/>
        <v>240476.40000000002</v>
      </c>
      <c r="O10" s="5">
        <f>VLOOKUP(C10,'Durée de vie utile'!$B$15:$E$18,4,FALSE)</f>
        <v>125</v>
      </c>
      <c r="P10" s="5">
        <f>VLOOKUP(C10,'Durée de vie utile'!$B$15:$E$18,3,FALSE)</f>
        <v>100</v>
      </c>
      <c r="Q10" s="5">
        <f>VLOOKUP(C10,'Durée de vie utile'!$B$26:$E$29,4,FALSE)</f>
        <v>50</v>
      </c>
      <c r="R10" s="5">
        <f>VLOOKUP(C10,'Durée de vie utile'!$B$26:$E$29,3,FALSE)</f>
        <v>30</v>
      </c>
      <c r="S10" s="6">
        <f t="shared" si="8"/>
        <v>2404.7640000000001</v>
      </c>
      <c r="T10" s="6">
        <f>(N10/(1+'Autres hypothèses'!$D$5))*('Autres hypothèses'!$D$5/(((1+'Autres hypothèses'!$D$5)^Routes!P10-1)))</f>
        <v>1396.6067228897605</v>
      </c>
      <c r="U10" s="5">
        <v>1953</v>
      </c>
      <c r="V10" s="5">
        <f t="shared" si="0"/>
        <v>69</v>
      </c>
      <c r="W10" s="1">
        <f t="shared" si="1"/>
        <v>0.69</v>
      </c>
      <c r="X10" s="3">
        <f t="shared" si="2"/>
        <v>138</v>
      </c>
      <c r="Y10" s="3">
        <f t="shared" si="3"/>
        <v>62</v>
      </c>
    </row>
    <row r="11" spans="1:25" x14ac:dyDescent="0.25">
      <c r="A11" s="20" t="s">
        <v>481</v>
      </c>
      <c r="B11" s="5" t="s">
        <v>1510</v>
      </c>
      <c r="C11" s="5" t="s">
        <v>1511</v>
      </c>
      <c r="D11" s="5"/>
      <c r="E11" s="5"/>
      <c r="F11" s="5"/>
      <c r="G11" s="5">
        <v>720.8</v>
      </c>
      <c r="H11" s="5">
        <v>50.1</v>
      </c>
      <c r="I11" s="19">
        <f>VLOOKUP("Couche de base",'Taux unitaires'!$B$9:$C$11,2,FALSE)</f>
        <v>200</v>
      </c>
      <c r="J11" s="19">
        <f>VLOOKUP("Revêtement de route",'Taux unitaires'!$B$9:$C$11,2,FALSE)</f>
        <v>101</v>
      </c>
      <c r="K11" s="19">
        <f t="shared" si="4"/>
        <v>144160</v>
      </c>
      <c r="L11" s="19">
        <f t="shared" si="5"/>
        <v>72800.799999999988</v>
      </c>
      <c r="M11" s="19">
        <f t="shared" si="6"/>
        <v>145601.59999999998</v>
      </c>
      <c r="N11" s="19">
        <f t="shared" si="7"/>
        <v>289761.59999999998</v>
      </c>
      <c r="O11" s="5">
        <f>VLOOKUP(C11,'Durée de vie utile'!$B$15:$E$18,4,FALSE)</f>
        <v>125</v>
      </c>
      <c r="P11" s="5">
        <f>VLOOKUP(C11,'Durée de vie utile'!$B$15:$E$18,3,FALSE)</f>
        <v>100</v>
      </c>
      <c r="Q11" s="5">
        <f>VLOOKUP(C11,'Durée de vie utile'!$B$26:$E$29,4,FALSE)</f>
        <v>50</v>
      </c>
      <c r="R11" s="5">
        <f>VLOOKUP(C11,'Durée de vie utile'!$B$26:$E$29,3,FALSE)</f>
        <v>30</v>
      </c>
      <c r="S11" s="6">
        <f t="shared" si="8"/>
        <v>2897.616</v>
      </c>
      <c r="T11" s="6">
        <f>(N11/(1+'Autres hypothèses'!$D$5))*('Autres hypothèses'!$D$5/(((1+'Autres hypothèses'!$D$5)^Routes!P11-1)))</f>
        <v>1682.838725942727</v>
      </c>
      <c r="U11" s="5">
        <v>1958</v>
      </c>
      <c r="V11" s="5">
        <f t="shared" si="0"/>
        <v>64</v>
      </c>
      <c r="W11" s="1">
        <f t="shared" si="1"/>
        <v>0.64</v>
      </c>
      <c r="X11" s="3">
        <f t="shared" si="2"/>
        <v>128</v>
      </c>
      <c r="Y11" s="3">
        <f t="shared" si="3"/>
        <v>72</v>
      </c>
    </row>
    <row r="12" spans="1:25" x14ac:dyDescent="0.25">
      <c r="A12" s="20" t="s">
        <v>482</v>
      </c>
      <c r="B12" s="5" t="s">
        <v>1512</v>
      </c>
      <c r="C12" s="5" t="s">
        <v>1513</v>
      </c>
      <c r="D12" s="5"/>
      <c r="E12" s="5"/>
      <c r="F12" s="5"/>
      <c r="G12" s="5">
        <v>973.4</v>
      </c>
      <c r="H12" s="5">
        <v>81.900000000000006</v>
      </c>
      <c r="I12" s="19">
        <f>VLOOKUP("Couche de base",'Taux unitaires'!$B$9:$C$11,2,FALSE)</f>
        <v>200</v>
      </c>
      <c r="J12" s="19">
        <f>VLOOKUP("Revêtement de route",'Taux unitaires'!$B$9:$C$11,2,FALSE)</f>
        <v>101</v>
      </c>
      <c r="K12" s="19">
        <f t="shared" si="4"/>
        <v>194680</v>
      </c>
      <c r="L12" s="19">
        <f t="shared" si="5"/>
        <v>98313.4</v>
      </c>
      <c r="M12" s="19">
        <f t="shared" si="6"/>
        <v>196626.8</v>
      </c>
      <c r="N12" s="19">
        <f t="shared" si="7"/>
        <v>391306.8</v>
      </c>
      <c r="O12" s="5">
        <f>VLOOKUP(C12,'Durée de vie utile'!$B$15:$E$18,4,FALSE)</f>
        <v>125</v>
      </c>
      <c r="P12" s="5">
        <f>VLOOKUP(C12,'Durée de vie utile'!$B$15:$E$18,3,FALSE)</f>
        <v>100</v>
      </c>
      <c r="Q12" s="5">
        <f>VLOOKUP(C12,'Durée de vie utile'!$B$26:$E$29,4,FALSE)</f>
        <v>50</v>
      </c>
      <c r="R12" s="5">
        <f>VLOOKUP(C12,'Durée de vie utile'!$B$26:$E$29,3,FALSE)</f>
        <v>30</v>
      </c>
      <c r="S12" s="6">
        <f t="shared" si="8"/>
        <v>3913.0679999999998</v>
      </c>
      <c r="T12" s="6">
        <f>(N12/(1+'Autres hypothèses'!$D$5))*('Autres hypothèses'!$D$5/(((1+'Autres hypothèses'!$D$5)^Routes!P12-1)))</f>
        <v>2272.5793782361966</v>
      </c>
      <c r="U12" s="5">
        <v>1953</v>
      </c>
      <c r="V12" s="5">
        <f t="shared" si="0"/>
        <v>69</v>
      </c>
      <c r="W12" s="1">
        <f t="shared" si="1"/>
        <v>0.69</v>
      </c>
      <c r="X12" s="3">
        <f t="shared" si="2"/>
        <v>138</v>
      </c>
      <c r="Y12" s="3">
        <f t="shared" si="3"/>
        <v>62</v>
      </c>
    </row>
    <row r="13" spans="1:25" x14ac:dyDescent="0.25">
      <c r="A13" s="20" t="s">
        <v>483</v>
      </c>
      <c r="B13" s="5" t="s">
        <v>1514</v>
      </c>
      <c r="C13" s="5" t="s">
        <v>1515</v>
      </c>
      <c r="D13" s="5"/>
      <c r="E13" s="5"/>
      <c r="F13" s="5"/>
      <c r="G13" s="5">
        <v>574.65731701000004</v>
      </c>
      <c r="H13" s="5">
        <v>57.465731700921701</v>
      </c>
      <c r="I13" s="19">
        <f>VLOOKUP("Couche de base",'Taux unitaires'!$B$9:$C$11,2,FALSE)</f>
        <v>200</v>
      </c>
      <c r="J13" s="19">
        <f>VLOOKUP("Revêtement de route",'Taux unitaires'!$B$9:$C$11,2,FALSE)</f>
        <v>101</v>
      </c>
      <c r="K13" s="19">
        <f t="shared" si="4"/>
        <v>114931.46340200001</v>
      </c>
      <c r="L13" s="19">
        <f t="shared" si="5"/>
        <v>58040.389018010006</v>
      </c>
      <c r="M13" s="19">
        <f t="shared" si="6"/>
        <v>116080.77803602001</v>
      </c>
      <c r="N13" s="19">
        <f t="shared" si="7"/>
        <v>231012.24143802002</v>
      </c>
      <c r="O13" s="5">
        <f>VLOOKUP(C13,'Durée de vie utile'!$B$15:$E$18,4,FALSE)</f>
        <v>125</v>
      </c>
      <c r="P13" s="5">
        <f>VLOOKUP(C13,'Durée de vie utile'!$B$15:$E$18,3,FALSE)</f>
        <v>100</v>
      </c>
      <c r="Q13" s="5">
        <f>VLOOKUP(C13,'Durée de vie utile'!$B$26:$E$29,4,FALSE)</f>
        <v>50</v>
      </c>
      <c r="R13" s="5">
        <f>VLOOKUP(C13,'Durée de vie utile'!$B$26:$E$29,3,FALSE)</f>
        <v>30</v>
      </c>
      <c r="S13" s="6">
        <f t="shared" si="8"/>
        <v>2310.1224143802001</v>
      </c>
      <c r="T13" s="6">
        <f>(N13/(1+'Autres hypothèses'!$D$5))*('Autres hypothèses'!$D$5/(((1+'Autres hypothèses'!$D$5)^Routes!P13-1)))</f>
        <v>1341.64204662982</v>
      </c>
      <c r="U13" s="5">
        <v>1958</v>
      </c>
      <c r="V13" s="5">
        <f t="shared" si="0"/>
        <v>64</v>
      </c>
      <c r="W13" s="1">
        <f t="shared" si="1"/>
        <v>0.64</v>
      </c>
      <c r="X13" s="3">
        <f t="shared" si="2"/>
        <v>128</v>
      </c>
      <c r="Y13" s="3">
        <f t="shared" si="3"/>
        <v>72</v>
      </c>
    </row>
    <row r="14" spans="1:25" x14ac:dyDescent="0.25">
      <c r="A14" s="20" t="s">
        <v>484</v>
      </c>
      <c r="B14" s="5" t="s">
        <v>1516</v>
      </c>
      <c r="C14" s="5" t="s">
        <v>1517</v>
      </c>
      <c r="D14" s="5"/>
      <c r="E14" s="5"/>
      <c r="F14" s="5"/>
      <c r="G14" s="5">
        <v>1231.2094035800001</v>
      </c>
      <c r="H14" s="5">
        <v>111.866117565526</v>
      </c>
      <c r="I14" s="19">
        <f>VLOOKUP("Couche de base",'Taux unitaires'!$B$9:$C$11,2,FALSE)</f>
        <v>200</v>
      </c>
      <c r="J14" s="19">
        <f>VLOOKUP("Revêtement de route",'Taux unitaires'!$B$9:$C$11,2,FALSE)</f>
        <v>101</v>
      </c>
      <c r="K14" s="19">
        <f t="shared" si="4"/>
        <v>246241.88071600001</v>
      </c>
      <c r="L14" s="19">
        <f t="shared" si="5"/>
        <v>124352.14976158</v>
      </c>
      <c r="M14" s="19">
        <f t="shared" si="6"/>
        <v>248704.29952316001</v>
      </c>
      <c r="N14" s="19">
        <f t="shared" si="7"/>
        <v>494946.18023916002</v>
      </c>
      <c r="O14" s="5">
        <f>VLOOKUP(C14,'Durée de vie utile'!$B$15:$E$18,4,FALSE)</f>
        <v>125</v>
      </c>
      <c r="P14" s="5">
        <f>VLOOKUP(C14,'Durée de vie utile'!$B$15:$E$18,3,FALSE)</f>
        <v>100</v>
      </c>
      <c r="Q14" s="5">
        <f>VLOOKUP(C14,'Durée de vie utile'!$B$26:$E$29,4,FALSE)</f>
        <v>50</v>
      </c>
      <c r="R14" s="5">
        <f>VLOOKUP(C14,'Durée de vie utile'!$B$26:$E$29,3,FALSE)</f>
        <v>30</v>
      </c>
      <c r="S14" s="6">
        <f t="shared" si="8"/>
        <v>4949.4618023916</v>
      </c>
      <c r="T14" s="6">
        <f>(N14/(1+'Autres hypothèses'!$D$5))*('Autres hypothèses'!$D$5/(((1+'Autres hypothèses'!$D$5)^Routes!P14-1)))</f>
        <v>2874.4823308674695</v>
      </c>
      <c r="U14" s="5">
        <v>1956</v>
      </c>
      <c r="V14" s="5">
        <f t="shared" si="0"/>
        <v>66</v>
      </c>
      <c r="W14" s="1">
        <f t="shared" si="1"/>
        <v>0.66</v>
      </c>
      <c r="X14" s="3">
        <f t="shared" si="2"/>
        <v>132</v>
      </c>
      <c r="Y14" s="3">
        <f t="shared" si="3"/>
        <v>68</v>
      </c>
    </row>
    <row r="15" spans="1:25" x14ac:dyDescent="0.25">
      <c r="A15" s="20" t="s">
        <v>485</v>
      </c>
      <c r="B15" s="5" t="s">
        <v>1518</v>
      </c>
      <c r="C15" s="5" t="s">
        <v>1519</v>
      </c>
      <c r="D15" s="5"/>
      <c r="E15" s="5"/>
      <c r="F15" s="5"/>
      <c r="G15" s="5">
        <v>453.88734127999902</v>
      </c>
      <c r="H15" s="5">
        <v>41.239625471588703</v>
      </c>
      <c r="I15" s="19">
        <f>VLOOKUP("Couche de base",'Taux unitaires'!$B$9:$C$11,2,FALSE)</f>
        <v>200</v>
      </c>
      <c r="J15" s="19">
        <f>VLOOKUP("Revêtement de route",'Taux unitaires'!$B$9:$C$11,2,FALSE)</f>
        <v>101</v>
      </c>
      <c r="K15" s="19">
        <f t="shared" si="4"/>
        <v>90777.468255999804</v>
      </c>
      <c r="L15" s="19">
        <f t="shared" si="5"/>
        <v>45842.621469279904</v>
      </c>
      <c r="M15" s="19">
        <f t="shared" si="6"/>
        <v>91685.242938559808</v>
      </c>
      <c r="N15" s="19">
        <f t="shared" si="7"/>
        <v>182462.71119455961</v>
      </c>
      <c r="O15" s="5">
        <f>VLOOKUP(C15,'Durée de vie utile'!$B$15:$E$18,4,FALSE)</f>
        <v>125</v>
      </c>
      <c r="P15" s="5">
        <f>VLOOKUP(C15,'Durée de vie utile'!$B$15:$E$18,3,FALSE)</f>
        <v>100</v>
      </c>
      <c r="Q15" s="5">
        <f>VLOOKUP(C15,'Durée de vie utile'!$B$26:$E$29,4,FALSE)</f>
        <v>50</v>
      </c>
      <c r="R15" s="5">
        <f>VLOOKUP(C15,'Durée de vie utile'!$B$26:$E$29,3,FALSE)</f>
        <v>30</v>
      </c>
      <c r="S15" s="6">
        <f t="shared" si="8"/>
        <v>1824.6271119455962</v>
      </c>
      <c r="T15" s="6">
        <f>(N15/(1+'Autres hypothèses'!$D$5))*('Autres hypothèses'!$D$5/(((1+'Autres hypothèses'!$D$5)^Routes!P15-1)))</f>
        <v>1059.6825681481207</v>
      </c>
      <c r="U15" s="5">
        <v>1956</v>
      </c>
      <c r="V15" s="5">
        <f t="shared" si="0"/>
        <v>66</v>
      </c>
      <c r="W15" s="1">
        <f t="shared" si="1"/>
        <v>0.66</v>
      </c>
      <c r="X15" s="3">
        <f t="shared" si="2"/>
        <v>132</v>
      </c>
      <c r="Y15" s="3">
        <f t="shared" si="3"/>
        <v>68</v>
      </c>
    </row>
    <row r="16" spans="1:25" x14ac:dyDescent="0.25">
      <c r="A16" s="20" t="s">
        <v>486</v>
      </c>
      <c r="B16" s="5" t="s">
        <v>1520</v>
      </c>
      <c r="C16" s="5" t="s">
        <v>1521</v>
      </c>
      <c r="D16" s="5"/>
      <c r="E16" s="5"/>
      <c r="F16" s="5"/>
      <c r="G16" s="5">
        <v>1734.8987898</v>
      </c>
      <c r="H16" s="5">
        <v>157.63069338045</v>
      </c>
      <c r="I16" s="19">
        <f>VLOOKUP("Couche de base",'Taux unitaires'!$B$9:$C$11,2,FALSE)</f>
        <v>200</v>
      </c>
      <c r="J16" s="19">
        <f>VLOOKUP("Revêtement de route",'Taux unitaires'!$B$9:$C$11,2,FALSE)</f>
        <v>101</v>
      </c>
      <c r="K16" s="19">
        <f t="shared" si="4"/>
        <v>346979.75796000002</v>
      </c>
      <c r="L16" s="19">
        <f t="shared" si="5"/>
        <v>175224.77776980001</v>
      </c>
      <c r="M16" s="19">
        <f t="shared" si="6"/>
        <v>350449.55553960003</v>
      </c>
      <c r="N16" s="19">
        <f t="shared" si="7"/>
        <v>697429.31349960004</v>
      </c>
      <c r="O16" s="5">
        <f>VLOOKUP(C16,'Durée de vie utile'!$B$15:$E$18,4,FALSE)</f>
        <v>125</v>
      </c>
      <c r="P16" s="5">
        <f>VLOOKUP(C16,'Durée de vie utile'!$B$15:$E$18,3,FALSE)</f>
        <v>100</v>
      </c>
      <c r="Q16" s="5">
        <f>VLOOKUP(C16,'Durée de vie utile'!$B$26:$E$29,4,FALSE)</f>
        <v>50</v>
      </c>
      <c r="R16" s="5">
        <f>VLOOKUP(C16,'Durée de vie utile'!$B$26:$E$29,3,FALSE)</f>
        <v>30</v>
      </c>
      <c r="S16" s="6">
        <f t="shared" si="8"/>
        <v>6974.2931349960008</v>
      </c>
      <c r="T16" s="6">
        <f>(N16/(1+'Autres hypothèses'!$D$5))*('Autres hypothèses'!$D$5/(((1+'Autres hypothèses'!$D$5)^Routes!P16-1)))</f>
        <v>4050.4368327783177</v>
      </c>
      <c r="U16" s="5">
        <v>1956</v>
      </c>
      <c r="V16" s="5">
        <f t="shared" si="0"/>
        <v>66</v>
      </c>
      <c r="W16" s="1">
        <f t="shared" si="1"/>
        <v>0.66</v>
      </c>
      <c r="X16" s="3">
        <f t="shared" si="2"/>
        <v>132</v>
      </c>
      <c r="Y16" s="3">
        <f t="shared" si="3"/>
        <v>68</v>
      </c>
    </row>
    <row r="17" spans="1:25" x14ac:dyDescent="0.25">
      <c r="A17" s="20" t="s">
        <v>487</v>
      </c>
      <c r="B17" s="5" t="s">
        <v>1522</v>
      </c>
      <c r="C17" s="5" t="s">
        <v>1523</v>
      </c>
      <c r="D17" s="5"/>
      <c r="E17" s="5"/>
      <c r="F17" s="5"/>
      <c r="G17" s="5">
        <v>3148.6</v>
      </c>
      <c r="H17" s="5">
        <v>262.10000000000002</v>
      </c>
      <c r="I17" s="19">
        <f>VLOOKUP("Couche de base",'Taux unitaires'!$B$9:$C$11,2,FALSE)</f>
        <v>200</v>
      </c>
      <c r="J17" s="19">
        <f>VLOOKUP("Revêtement de route",'Taux unitaires'!$B$9:$C$11,2,FALSE)</f>
        <v>101</v>
      </c>
      <c r="K17" s="19">
        <f t="shared" si="4"/>
        <v>629720</v>
      </c>
      <c r="L17" s="19">
        <f t="shared" si="5"/>
        <v>318008.59999999998</v>
      </c>
      <c r="M17" s="19">
        <f t="shared" si="6"/>
        <v>636017.19999999995</v>
      </c>
      <c r="N17" s="19">
        <f t="shared" si="7"/>
        <v>1265737.2</v>
      </c>
      <c r="O17" s="5">
        <f>VLOOKUP(C17,'Durée de vie utile'!$B$15:$E$18,4,FALSE)</f>
        <v>125</v>
      </c>
      <c r="P17" s="5">
        <f>VLOOKUP(C17,'Durée de vie utile'!$B$15:$E$18,3,FALSE)</f>
        <v>100</v>
      </c>
      <c r="Q17" s="5">
        <f>VLOOKUP(C17,'Durée de vie utile'!$B$26:$E$29,4,FALSE)</f>
        <v>50</v>
      </c>
      <c r="R17" s="5">
        <f>VLOOKUP(C17,'Durée de vie utile'!$B$26:$E$29,3,FALSE)</f>
        <v>30</v>
      </c>
      <c r="S17" s="6">
        <f t="shared" si="8"/>
        <v>12657.371999999999</v>
      </c>
      <c r="T17" s="6">
        <f>(N17/(1+'Autres hypothèses'!$D$5))*('Autres hypothèses'!$D$5/(((1+'Autres hypothèses'!$D$5)^Routes!P17-1)))</f>
        <v>7350.9794846049808</v>
      </c>
      <c r="U17" s="5">
        <v>1956</v>
      </c>
      <c r="V17" s="5">
        <f t="shared" si="0"/>
        <v>66</v>
      </c>
      <c r="W17" s="1">
        <f t="shared" si="1"/>
        <v>0.66</v>
      </c>
      <c r="X17" s="3">
        <f t="shared" si="2"/>
        <v>132</v>
      </c>
      <c r="Y17" s="3">
        <f t="shared" si="3"/>
        <v>68</v>
      </c>
    </row>
    <row r="18" spans="1:25" x14ac:dyDescent="0.25">
      <c r="A18" s="20" t="s">
        <v>488</v>
      </c>
      <c r="B18" s="5" t="s">
        <v>1524</v>
      </c>
      <c r="C18" s="5" t="s">
        <v>1525</v>
      </c>
      <c r="D18" s="5"/>
      <c r="E18" s="5"/>
      <c r="F18" s="5"/>
      <c r="G18" s="5">
        <v>604.70000000000005</v>
      </c>
      <c r="H18" s="5">
        <v>67.2</v>
      </c>
      <c r="I18" s="19">
        <f>VLOOKUP("Couche de base",'Taux unitaires'!$B$9:$C$11,2,FALSE)</f>
        <v>200</v>
      </c>
      <c r="J18" s="19">
        <f>VLOOKUP("Revêtement de route",'Taux unitaires'!$B$9:$C$11,2,FALSE)</f>
        <v>101</v>
      </c>
      <c r="K18" s="19">
        <f t="shared" si="4"/>
        <v>120940.00000000001</v>
      </c>
      <c r="L18" s="19">
        <f t="shared" si="5"/>
        <v>61074.700000000004</v>
      </c>
      <c r="M18" s="19">
        <f t="shared" si="6"/>
        <v>122149.40000000001</v>
      </c>
      <c r="N18" s="19">
        <f t="shared" si="7"/>
        <v>243089.40000000002</v>
      </c>
      <c r="O18" s="5">
        <f>VLOOKUP(C18,'Durée de vie utile'!$B$15:$E$18,4,FALSE)</f>
        <v>125</v>
      </c>
      <c r="P18" s="5">
        <f>VLOOKUP(C18,'Durée de vie utile'!$B$15:$E$18,3,FALSE)</f>
        <v>100</v>
      </c>
      <c r="Q18" s="5">
        <f>VLOOKUP(C18,'Durée de vie utile'!$B$26:$E$29,4,FALSE)</f>
        <v>50</v>
      </c>
      <c r="R18" s="5">
        <f>VLOOKUP(C18,'Durée de vie utile'!$B$26:$E$29,3,FALSE)</f>
        <v>30</v>
      </c>
      <c r="S18" s="6">
        <f t="shared" si="8"/>
        <v>2430.8940000000002</v>
      </c>
      <c r="T18" s="6">
        <f>(N18/(1+'Autres hypothèses'!$D$5))*('Autres hypothèses'!$D$5/(((1+'Autres hypothèses'!$D$5)^Routes!P18-1)))</f>
        <v>1411.7821553517856</v>
      </c>
      <c r="U18" s="5">
        <v>1957</v>
      </c>
      <c r="V18" s="5">
        <f t="shared" si="0"/>
        <v>65</v>
      </c>
      <c r="W18" s="1">
        <f t="shared" si="1"/>
        <v>0.65</v>
      </c>
      <c r="X18" s="3">
        <f t="shared" si="2"/>
        <v>130</v>
      </c>
      <c r="Y18" s="3">
        <f t="shared" si="3"/>
        <v>70</v>
      </c>
    </row>
    <row r="19" spans="1:25" x14ac:dyDescent="0.25">
      <c r="A19" s="20" t="s">
        <v>489</v>
      </c>
      <c r="B19" s="5" t="s">
        <v>1526</v>
      </c>
      <c r="C19" s="5" t="s">
        <v>1527</v>
      </c>
      <c r="D19" s="5"/>
      <c r="E19" s="5"/>
      <c r="F19" s="5"/>
      <c r="G19" s="5">
        <v>682.91101828000001</v>
      </c>
      <c r="H19" s="5">
        <v>69.780315856493004</v>
      </c>
      <c r="I19" s="19">
        <f>VLOOKUP("Couche de base",'Taux unitaires'!$B$9:$C$11,2,FALSE)</f>
        <v>200</v>
      </c>
      <c r="J19" s="19">
        <f>VLOOKUP("Revêtement de route",'Taux unitaires'!$B$9:$C$11,2,FALSE)</f>
        <v>101</v>
      </c>
      <c r="K19" s="19">
        <f t="shared" si="4"/>
        <v>136582.203656</v>
      </c>
      <c r="L19" s="19">
        <f t="shared" si="5"/>
        <v>68974.012846280006</v>
      </c>
      <c r="M19" s="19">
        <f t="shared" si="6"/>
        <v>137948.02569256001</v>
      </c>
      <c r="N19" s="19">
        <f t="shared" si="7"/>
        <v>274530.22934855998</v>
      </c>
      <c r="O19" s="5">
        <f>VLOOKUP(C19,'Durée de vie utile'!$B$15:$E$18,4,FALSE)</f>
        <v>125</v>
      </c>
      <c r="P19" s="5">
        <f>VLOOKUP(C19,'Durée de vie utile'!$B$15:$E$18,3,FALSE)</f>
        <v>100</v>
      </c>
      <c r="Q19" s="5">
        <f>VLOOKUP(C19,'Durée de vie utile'!$B$26:$E$29,4,FALSE)</f>
        <v>50</v>
      </c>
      <c r="R19" s="5">
        <f>VLOOKUP(C19,'Durée de vie utile'!$B$26:$E$29,3,FALSE)</f>
        <v>30</v>
      </c>
      <c r="S19" s="6">
        <f t="shared" si="8"/>
        <v>2745.3022934855999</v>
      </c>
      <c r="T19" s="6">
        <f>(N19/(1+'Autres hypothèses'!$D$5))*('Autres hypothèses'!$D$5/(((1+'Autres hypothèses'!$D$5)^Routes!P19-1)))</f>
        <v>1594.3800054586093</v>
      </c>
      <c r="U19" s="5">
        <v>1958</v>
      </c>
      <c r="V19" s="5">
        <f t="shared" si="0"/>
        <v>64</v>
      </c>
      <c r="W19" s="1">
        <f t="shared" si="1"/>
        <v>0.64</v>
      </c>
      <c r="X19" s="3">
        <f t="shared" si="2"/>
        <v>128</v>
      </c>
      <c r="Y19" s="3">
        <f t="shared" si="3"/>
        <v>72</v>
      </c>
    </row>
    <row r="20" spans="1:25" x14ac:dyDescent="0.25">
      <c r="A20" s="20" t="s">
        <v>490</v>
      </c>
      <c r="B20" s="5" t="s">
        <v>1528</v>
      </c>
      <c r="C20" s="5" t="s">
        <v>1529</v>
      </c>
      <c r="D20" s="5"/>
      <c r="E20" s="5"/>
      <c r="F20" s="5"/>
      <c r="G20" s="5">
        <v>956.9</v>
      </c>
      <c r="H20" s="5">
        <v>79.7</v>
      </c>
      <c r="I20" s="19">
        <f>VLOOKUP("Couche de base",'Taux unitaires'!$B$9:$C$11,2,FALSE)</f>
        <v>200</v>
      </c>
      <c r="J20" s="19">
        <f>VLOOKUP("Revêtement de route",'Taux unitaires'!$B$9:$C$11,2,FALSE)</f>
        <v>101</v>
      </c>
      <c r="K20" s="19">
        <f t="shared" si="4"/>
        <v>191380</v>
      </c>
      <c r="L20" s="19">
        <f t="shared" si="5"/>
        <v>96646.9</v>
      </c>
      <c r="M20" s="19">
        <f t="shared" si="6"/>
        <v>193293.8</v>
      </c>
      <c r="N20" s="19">
        <f t="shared" si="7"/>
        <v>384673.8</v>
      </c>
      <c r="O20" s="5">
        <f>VLOOKUP(C20,'Durée de vie utile'!$B$15:$E$18,4,FALSE)</f>
        <v>125</v>
      </c>
      <c r="P20" s="5">
        <f>VLOOKUP(C20,'Durée de vie utile'!$B$15:$E$18,3,FALSE)</f>
        <v>100</v>
      </c>
      <c r="Q20" s="5">
        <f>VLOOKUP(C20,'Durée de vie utile'!$B$26:$E$29,4,FALSE)</f>
        <v>50</v>
      </c>
      <c r="R20" s="5">
        <f>VLOOKUP(C20,'Durée de vie utile'!$B$26:$E$29,3,FALSE)</f>
        <v>30</v>
      </c>
      <c r="S20" s="6">
        <f t="shared" si="8"/>
        <v>3846.7379999999998</v>
      </c>
      <c r="T20" s="6">
        <f>(N20/(1+'Autres hypothèses'!$D$5))*('Autres hypothèses'!$D$5/(((1+'Autres hypothèses'!$D$5)^Routes!P20-1)))</f>
        <v>2234.0571266018251</v>
      </c>
      <c r="U20" s="5">
        <v>1958</v>
      </c>
      <c r="V20" s="5">
        <f t="shared" si="0"/>
        <v>64</v>
      </c>
      <c r="W20" s="1">
        <f t="shared" si="1"/>
        <v>0.64</v>
      </c>
      <c r="X20" s="3">
        <f t="shared" si="2"/>
        <v>128</v>
      </c>
      <c r="Y20" s="3">
        <f t="shared" si="3"/>
        <v>72</v>
      </c>
    </row>
    <row r="21" spans="1:25" x14ac:dyDescent="0.25">
      <c r="A21" s="20" t="s">
        <v>491</v>
      </c>
      <c r="B21" s="5" t="s">
        <v>1530</v>
      </c>
      <c r="C21" s="5" t="s">
        <v>1531</v>
      </c>
      <c r="D21" s="5"/>
      <c r="E21" s="5"/>
      <c r="F21" s="5"/>
      <c r="G21" s="5">
        <v>964.1</v>
      </c>
      <c r="H21" s="5">
        <v>64.3</v>
      </c>
      <c r="I21" s="19">
        <f>VLOOKUP("Couche de base",'Taux unitaires'!$B$9:$C$11,2,FALSE)</f>
        <v>200</v>
      </c>
      <c r="J21" s="19">
        <f>VLOOKUP("Revêtement de route",'Taux unitaires'!$B$9:$C$11,2,FALSE)</f>
        <v>101</v>
      </c>
      <c r="K21" s="19">
        <f t="shared" si="4"/>
        <v>192820</v>
      </c>
      <c r="L21" s="19">
        <f t="shared" si="5"/>
        <v>97374.1</v>
      </c>
      <c r="M21" s="19">
        <f t="shared" si="6"/>
        <v>194748.2</v>
      </c>
      <c r="N21" s="19">
        <f t="shared" si="7"/>
        <v>387568.2</v>
      </c>
      <c r="O21" s="5">
        <f>VLOOKUP(C21,'Durée de vie utile'!$B$15:$E$18,4,FALSE)</f>
        <v>125</v>
      </c>
      <c r="P21" s="5">
        <f>VLOOKUP(C21,'Durée de vie utile'!$B$15:$E$18,3,FALSE)</f>
        <v>100</v>
      </c>
      <c r="Q21" s="5">
        <f>VLOOKUP(C21,'Durée de vie utile'!$B$26:$E$29,4,FALSE)</f>
        <v>50</v>
      </c>
      <c r="R21" s="5">
        <f>VLOOKUP(C21,'Durée de vie utile'!$B$26:$E$29,3,FALSE)</f>
        <v>30</v>
      </c>
      <c r="S21" s="6">
        <f t="shared" si="8"/>
        <v>3875.6820000000002</v>
      </c>
      <c r="T21" s="6">
        <f>(N21/(1+'Autres hypothèses'!$D$5))*('Autres hypothèses'!$D$5/(((1+'Autres hypothèses'!$D$5)^Routes!P21-1)))</f>
        <v>2250.8668364059149</v>
      </c>
      <c r="U21" s="5">
        <v>1957</v>
      </c>
      <c r="V21" s="5">
        <f t="shared" si="0"/>
        <v>65</v>
      </c>
      <c r="W21" s="1">
        <f t="shared" si="1"/>
        <v>0.65</v>
      </c>
      <c r="X21" s="3">
        <f t="shared" si="2"/>
        <v>130</v>
      </c>
      <c r="Y21" s="3">
        <f t="shared" si="3"/>
        <v>70</v>
      </c>
    </row>
    <row r="22" spans="1:25" x14ac:dyDescent="0.25">
      <c r="A22" s="20" t="s">
        <v>492</v>
      </c>
      <c r="B22" s="5" t="s">
        <v>1532</v>
      </c>
      <c r="C22" s="5" t="s">
        <v>1533</v>
      </c>
      <c r="D22" s="5"/>
      <c r="E22" s="5"/>
      <c r="F22" s="5"/>
      <c r="G22" s="5">
        <v>2291.8000000000002</v>
      </c>
      <c r="H22" s="5">
        <v>254.8</v>
      </c>
      <c r="I22" s="19">
        <f>VLOOKUP("Couche de base",'Taux unitaires'!$B$9:$C$11,2,FALSE)</f>
        <v>200</v>
      </c>
      <c r="J22" s="19">
        <f>VLOOKUP("Revêtement de route",'Taux unitaires'!$B$9:$C$11,2,FALSE)</f>
        <v>101</v>
      </c>
      <c r="K22" s="19">
        <f t="shared" si="4"/>
        <v>458360.00000000006</v>
      </c>
      <c r="L22" s="19">
        <f t="shared" si="5"/>
        <v>231471.80000000002</v>
      </c>
      <c r="M22" s="19">
        <f t="shared" si="6"/>
        <v>462943.60000000003</v>
      </c>
      <c r="N22" s="19">
        <f t="shared" si="7"/>
        <v>921303.60000000009</v>
      </c>
      <c r="O22" s="5">
        <f>VLOOKUP(C22,'Durée de vie utile'!$B$15:$E$18,4,FALSE)</f>
        <v>125</v>
      </c>
      <c r="P22" s="5">
        <f>VLOOKUP(C22,'Durée de vie utile'!$B$15:$E$18,3,FALSE)</f>
        <v>100</v>
      </c>
      <c r="Q22" s="5">
        <f>VLOOKUP(C22,'Durée de vie utile'!$B$26:$E$29,4,FALSE)</f>
        <v>50</v>
      </c>
      <c r="R22" s="5">
        <f>VLOOKUP(C22,'Durée de vie utile'!$B$26:$E$29,3,FALSE)</f>
        <v>30</v>
      </c>
      <c r="S22" s="6">
        <f t="shared" si="8"/>
        <v>9213.0360000000001</v>
      </c>
      <c r="T22" s="6">
        <f>(N22/(1+'Autres hypothèses'!$D$5))*('Autres hypothèses'!$D$5/(((1+'Autres hypothèses'!$D$5)^Routes!P22-1)))</f>
        <v>5350.6240179183442</v>
      </c>
      <c r="U22" s="5">
        <v>1958</v>
      </c>
      <c r="V22" s="5">
        <f t="shared" si="0"/>
        <v>64</v>
      </c>
      <c r="W22" s="1">
        <f t="shared" si="1"/>
        <v>0.64</v>
      </c>
      <c r="X22" s="3">
        <f t="shared" si="2"/>
        <v>128</v>
      </c>
      <c r="Y22" s="3">
        <f t="shared" si="3"/>
        <v>72</v>
      </c>
    </row>
    <row r="23" spans="1:25" x14ac:dyDescent="0.25">
      <c r="A23" s="20" t="s">
        <v>493</v>
      </c>
      <c r="B23" s="5" t="s">
        <v>1534</v>
      </c>
      <c r="C23" s="5" t="s">
        <v>1535</v>
      </c>
      <c r="D23" s="5"/>
      <c r="E23" s="5"/>
      <c r="F23" s="5"/>
      <c r="G23" s="5">
        <v>9387.5</v>
      </c>
      <c r="H23" s="5">
        <v>586.5</v>
      </c>
      <c r="I23" s="19">
        <f>VLOOKUP("Couche de base",'Taux unitaires'!$B$9:$C$11,2,FALSE)</f>
        <v>200</v>
      </c>
      <c r="J23" s="19">
        <f>VLOOKUP("Revêtement de route",'Taux unitaires'!$B$9:$C$11,2,FALSE)</f>
        <v>101</v>
      </c>
      <c r="K23" s="19">
        <f t="shared" si="4"/>
        <v>1877500</v>
      </c>
      <c r="L23" s="19">
        <f t="shared" si="5"/>
        <v>948137.5</v>
      </c>
      <c r="M23" s="19">
        <f t="shared" si="6"/>
        <v>1896275</v>
      </c>
      <c r="N23" s="19">
        <f t="shared" si="7"/>
        <v>3773775</v>
      </c>
      <c r="O23" s="5">
        <f>VLOOKUP(C23,'Durée de vie utile'!$B$15:$E$18,4,FALSE)</f>
        <v>100</v>
      </c>
      <c r="P23" s="5">
        <f>VLOOKUP(C23,'Durée de vie utile'!$B$15:$E$18,3,FALSE)</f>
        <v>80</v>
      </c>
      <c r="Q23" s="5">
        <f>VLOOKUP(C23,'Durée de vie utile'!$B$26:$E$29,4,FALSE)</f>
        <v>40</v>
      </c>
      <c r="R23" s="5">
        <f>VLOOKUP(C23,'Durée de vie utile'!$B$26:$E$29,3,FALSE)</f>
        <v>25</v>
      </c>
      <c r="S23" s="6">
        <f t="shared" si="8"/>
        <v>47172.1875</v>
      </c>
      <c r="T23" s="6">
        <f>(N23/(1+'Autres hypothèses'!$D$5))*('Autres hypothèses'!$D$5/(((1+'Autres hypothèses'!$D$5)^Routes!P23-1)))</f>
        <v>30709.00107344149</v>
      </c>
      <c r="U23" s="5">
        <v>1958</v>
      </c>
      <c r="V23" s="5">
        <f t="shared" si="0"/>
        <v>64</v>
      </c>
      <c r="W23" s="1">
        <f t="shared" si="1"/>
        <v>0.8</v>
      </c>
      <c r="X23" s="3">
        <f t="shared" si="2"/>
        <v>160</v>
      </c>
      <c r="Y23" s="3">
        <f t="shared" si="3"/>
        <v>40</v>
      </c>
    </row>
    <row r="24" spans="1:25" x14ac:dyDescent="0.25">
      <c r="A24" s="20" t="s">
        <v>494</v>
      </c>
      <c r="B24" s="5" t="s">
        <v>1536</v>
      </c>
      <c r="C24" s="5" t="s">
        <v>1537</v>
      </c>
      <c r="D24" s="5"/>
      <c r="E24" s="5"/>
      <c r="F24" s="5"/>
      <c r="G24" s="5">
        <v>545.67492853999897</v>
      </c>
      <c r="H24" s="5">
        <v>74.575573574689301</v>
      </c>
      <c r="I24" s="19">
        <f>VLOOKUP("Couche de base",'Taux unitaires'!$B$9:$C$11,2,FALSE)</f>
        <v>200</v>
      </c>
      <c r="J24" s="19">
        <f>VLOOKUP("Revêtement de route",'Taux unitaires'!$B$9:$C$11,2,FALSE)</f>
        <v>101</v>
      </c>
      <c r="K24" s="19">
        <f t="shared" si="4"/>
        <v>109134.98570799979</v>
      </c>
      <c r="L24" s="19">
        <f t="shared" si="5"/>
        <v>55113.167782539895</v>
      </c>
      <c r="M24" s="19">
        <f t="shared" si="6"/>
        <v>110226.33556507979</v>
      </c>
      <c r="N24" s="19">
        <f t="shared" si="7"/>
        <v>219361.32127307958</v>
      </c>
      <c r="O24" s="5">
        <f>VLOOKUP(C24,'Durée de vie utile'!$B$15:$E$18,4,FALSE)</f>
        <v>125</v>
      </c>
      <c r="P24" s="5">
        <f>VLOOKUP(C24,'Durée de vie utile'!$B$15:$E$18,3,FALSE)</f>
        <v>100</v>
      </c>
      <c r="Q24" s="5">
        <f>VLOOKUP(C24,'Durée de vie utile'!$B$26:$E$29,4,FALSE)</f>
        <v>50</v>
      </c>
      <c r="R24" s="5">
        <f>VLOOKUP(C24,'Durée de vie utile'!$B$26:$E$29,3,FALSE)</f>
        <v>30</v>
      </c>
      <c r="S24" s="6">
        <f t="shared" si="8"/>
        <v>2193.6132127307956</v>
      </c>
      <c r="T24" s="6">
        <f>(N24/(1+'Autres hypothèses'!$D$5))*('Autres hypothèses'!$D$5/(((1+'Autres hypothèses'!$D$5)^Routes!P24-1)))</f>
        <v>1273.9773883506389</v>
      </c>
      <c r="U24" s="5">
        <v>1958</v>
      </c>
      <c r="V24" s="5">
        <f t="shared" si="0"/>
        <v>64</v>
      </c>
      <c r="W24" s="1">
        <f t="shared" si="1"/>
        <v>0.64</v>
      </c>
      <c r="X24" s="3">
        <f t="shared" si="2"/>
        <v>128</v>
      </c>
      <c r="Y24" s="3">
        <f t="shared" si="3"/>
        <v>72</v>
      </c>
    </row>
    <row r="25" spans="1:25" x14ac:dyDescent="0.25">
      <c r="A25" s="20" t="s">
        <v>495</v>
      </c>
      <c r="B25" s="5" t="s">
        <v>1538</v>
      </c>
      <c r="C25" s="5" t="s">
        <v>1539</v>
      </c>
      <c r="D25" s="5"/>
      <c r="E25" s="5"/>
      <c r="F25" s="5"/>
      <c r="G25" s="5">
        <v>777.1</v>
      </c>
      <c r="H25" s="5">
        <v>64.7</v>
      </c>
      <c r="I25" s="19">
        <f>VLOOKUP("Couche de base",'Taux unitaires'!$B$9:$C$11,2,FALSE)</f>
        <v>200</v>
      </c>
      <c r="J25" s="19">
        <f>VLOOKUP("Revêtement de route",'Taux unitaires'!$B$9:$C$11,2,FALSE)</f>
        <v>101</v>
      </c>
      <c r="K25" s="19">
        <f t="shared" si="4"/>
        <v>155420</v>
      </c>
      <c r="L25" s="19">
        <f t="shared" si="5"/>
        <v>78487.100000000006</v>
      </c>
      <c r="M25" s="19">
        <f t="shared" si="6"/>
        <v>156974.20000000001</v>
      </c>
      <c r="N25" s="19">
        <f t="shared" si="7"/>
        <v>312394.2</v>
      </c>
      <c r="O25" s="5">
        <f>VLOOKUP(C25,'Durée de vie utile'!$B$15:$E$18,4,FALSE)</f>
        <v>125</v>
      </c>
      <c r="P25" s="5">
        <f>VLOOKUP(C25,'Durée de vie utile'!$B$15:$E$18,3,FALSE)</f>
        <v>100</v>
      </c>
      <c r="Q25" s="5">
        <f>VLOOKUP(C25,'Durée de vie utile'!$B$26:$E$29,4,FALSE)</f>
        <v>50</v>
      </c>
      <c r="R25" s="5">
        <f>VLOOKUP(C25,'Durée de vie utile'!$B$26:$E$29,3,FALSE)</f>
        <v>30</v>
      </c>
      <c r="S25" s="6">
        <f t="shared" si="8"/>
        <v>3123.942</v>
      </c>
      <c r="T25" s="6">
        <f>(N25/(1+'Autres hypothèses'!$D$5))*('Autres hypothèses'!$D$5/(((1+'Autres hypothèses'!$D$5)^Routes!P25-1)))</f>
        <v>1814.2813178830372</v>
      </c>
      <c r="U25" s="5">
        <v>1958</v>
      </c>
      <c r="V25" s="5">
        <f t="shared" si="0"/>
        <v>64</v>
      </c>
      <c r="W25" s="1">
        <f t="shared" si="1"/>
        <v>0.64</v>
      </c>
      <c r="X25" s="3">
        <f t="shared" si="2"/>
        <v>128</v>
      </c>
      <c r="Y25" s="3">
        <f t="shared" si="3"/>
        <v>72</v>
      </c>
    </row>
    <row r="26" spans="1:25" x14ac:dyDescent="0.25">
      <c r="A26" s="20" t="s">
        <v>496</v>
      </c>
      <c r="B26" s="5" t="s">
        <v>1540</v>
      </c>
      <c r="C26" s="5" t="s">
        <v>1541</v>
      </c>
      <c r="D26" s="5"/>
      <c r="E26" s="5"/>
      <c r="F26" s="5"/>
      <c r="G26" s="5">
        <v>1243.3</v>
      </c>
      <c r="H26" s="5">
        <v>84.1</v>
      </c>
      <c r="I26" s="19">
        <f>VLOOKUP("Couche de base",'Taux unitaires'!$B$9:$C$11,2,FALSE)</f>
        <v>200</v>
      </c>
      <c r="J26" s="19">
        <f>VLOOKUP("Revêtement de route",'Taux unitaires'!$B$9:$C$11,2,FALSE)</f>
        <v>101</v>
      </c>
      <c r="K26" s="19">
        <f t="shared" si="4"/>
        <v>248660</v>
      </c>
      <c r="L26" s="19">
        <f t="shared" si="5"/>
        <v>125573.29999999999</v>
      </c>
      <c r="M26" s="19">
        <f t="shared" si="6"/>
        <v>251146.59999999998</v>
      </c>
      <c r="N26" s="19">
        <f t="shared" si="7"/>
        <v>499806.6</v>
      </c>
      <c r="O26" s="5">
        <f>VLOOKUP(C26,'Durée de vie utile'!$B$15:$E$18,4,FALSE)</f>
        <v>125</v>
      </c>
      <c r="P26" s="5">
        <f>VLOOKUP(C26,'Durée de vie utile'!$B$15:$E$18,3,FALSE)</f>
        <v>100</v>
      </c>
      <c r="Q26" s="5">
        <f>VLOOKUP(C26,'Durée de vie utile'!$B$26:$E$29,4,FALSE)</f>
        <v>50</v>
      </c>
      <c r="R26" s="5">
        <f>VLOOKUP(C26,'Durée de vie utile'!$B$26:$E$29,3,FALSE)</f>
        <v>30</v>
      </c>
      <c r="S26" s="6">
        <f t="shared" si="8"/>
        <v>4998.0659999999998</v>
      </c>
      <c r="T26" s="6">
        <f>(N26/(1+'Autres hypothèses'!$D$5))*('Autres hypothèses'!$D$5/(((1+'Autres hypothèses'!$D$5)^Routes!P26-1)))</f>
        <v>2902.7100276978254</v>
      </c>
      <c r="U26" s="5">
        <v>1963</v>
      </c>
      <c r="V26" s="5">
        <f t="shared" si="0"/>
        <v>59</v>
      </c>
      <c r="W26" s="1">
        <f t="shared" si="1"/>
        <v>0.59</v>
      </c>
      <c r="X26" s="3">
        <f t="shared" si="2"/>
        <v>118</v>
      </c>
      <c r="Y26" s="3">
        <f t="shared" si="3"/>
        <v>82</v>
      </c>
    </row>
    <row r="27" spans="1:25" x14ac:dyDescent="0.25">
      <c r="A27" s="20" t="s">
        <v>497</v>
      </c>
      <c r="B27" s="5" t="s">
        <v>1542</v>
      </c>
      <c r="C27" s="5" t="s">
        <v>1543</v>
      </c>
      <c r="D27" s="5"/>
      <c r="E27" s="5"/>
      <c r="F27" s="5"/>
      <c r="G27" s="5">
        <v>1108.0789918200001</v>
      </c>
      <c r="H27" s="5">
        <v>100.678645249338</v>
      </c>
      <c r="I27" s="19">
        <f>VLOOKUP("Couche de base",'Taux unitaires'!$B$9:$C$11,2,FALSE)</f>
        <v>200</v>
      </c>
      <c r="J27" s="19">
        <f>VLOOKUP("Revêtement de route",'Taux unitaires'!$B$9:$C$11,2,FALSE)</f>
        <v>101</v>
      </c>
      <c r="K27" s="19">
        <f t="shared" si="4"/>
        <v>221615.79836400002</v>
      </c>
      <c r="L27" s="19">
        <f t="shared" si="5"/>
        <v>111915.97817382001</v>
      </c>
      <c r="M27" s="19">
        <f t="shared" si="6"/>
        <v>223831.95634764002</v>
      </c>
      <c r="N27" s="19">
        <f t="shared" si="7"/>
        <v>445447.75471164007</v>
      </c>
      <c r="O27" s="5">
        <f>VLOOKUP(C27,'Durée de vie utile'!$B$15:$E$18,4,FALSE)</f>
        <v>125</v>
      </c>
      <c r="P27" s="5">
        <f>VLOOKUP(C27,'Durée de vie utile'!$B$15:$E$18,3,FALSE)</f>
        <v>100</v>
      </c>
      <c r="Q27" s="5">
        <f>VLOOKUP(C27,'Durée de vie utile'!$B$26:$E$29,4,FALSE)</f>
        <v>50</v>
      </c>
      <c r="R27" s="5">
        <f>VLOOKUP(C27,'Durée de vie utile'!$B$26:$E$29,3,FALSE)</f>
        <v>30</v>
      </c>
      <c r="S27" s="6">
        <f t="shared" si="8"/>
        <v>4454.4775471164003</v>
      </c>
      <c r="T27" s="6">
        <f>(N27/(1+'Autres hypothèses'!$D$5))*('Autres hypothèses'!$D$5/(((1+'Autres hypothèses'!$D$5)^Routes!P27-1)))</f>
        <v>2587.0119850697429</v>
      </c>
      <c r="U27" s="5">
        <v>1958</v>
      </c>
      <c r="V27" s="5">
        <f t="shared" si="0"/>
        <v>64</v>
      </c>
      <c r="W27" s="1">
        <f t="shared" si="1"/>
        <v>0.64</v>
      </c>
      <c r="X27" s="3">
        <f t="shared" si="2"/>
        <v>128</v>
      </c>
      <c r="Y27" s="3">
        <f t="shared" si="3"/>
        <v>72</v>
      </c>
    </row>
    <row r="28" spans="1:25" x14ac:dyDescent="0.25">
      <c r="A28" s="20" t="s">
        <v>498</v>
      </c>
      <c r="B28" s="5" t="s">
        <v>1544</v>
      </c>
      <c r="C28" s="5" t="s">
        <v>1545</v>
      </c>
      <c r="D28" s="5"/>
      <c r="E28" s="5"/>
      <c r="F28" s="5"/>
      <c r="G28" s="5">
        <v>7045.1</v>
      </c>
      <c r="H28" s="5">
        <v>391.7</v>
      </c>
      <c r="I28" s="19">
        <f>VLOOKUP("Couche de base",'Taux unitaires'!$B$9:$C$11,2,FALSE)</f>
        <v>200</v>
      </c>
      <c r="J28" s="19">
        <f>VLOOKUP("Revêtement de route",'Taux unitaires'!$B$9:$C$11,2,FALSE)</f>
        <v>101</v>
      </c>
      <c r="K28" s="19">
        <f t="shared" si="4"/>
        <v>1409020</v>
      </c>
      <c r="L28" s="19">
        <f t="shared" si="5"/>
        <v>711555.10000000009</v>
      </c>
      <c r="M28" s="19">
        <f t="shared" si="6"/>
        <v>1423110.2000000002</v>
      </c>
      <c r="N28" s="19">
        <f t="shared" si="7"/>
        <v>2832130.2</v>
      </c>
      <c r="O28" s="5">
        <f>VLOOKUP(C28,'Durée de vie utile'!$B$15:$E$18,4,FALSE)</f>
        <v>125</v>
      </c>
      <c r="P28" s="5">
        <f>VLOOKUP(C28,'Durée de vie utile'!$B$15:$E$18,3,FALSE)</f>
        <v>100</v>
      </c>
      <c r="Q28" s="5">
        <f>VLOOKUP(C28,'Durée de vie utile'!$B$26:$E$29,4,FALSE)</f>
        <v>50</v>
      </c>
      <c r="R28" s="5">
        <f>VLOOKUP(C28,'Durée de vie utile'!$B$26:$E$29,3,FALSE)</f>
        <v>30</v>
      </c>
      <c r="S28" s="6">
        <f t="shared" si="8"/>
        <v>28321.302000000003</v>
      </c>
      <c r="T28" s="6">
        <f>(N28/(1+'Autres hypothèses'!$D$5))*('Autres hypothèses'!$D$5/(((1+'Autres hypothèses'!$D$5)^Routes!P28-1)))</f>
        <v>16448.067575109751</v>
      </c>
      <c r="U28" s="5">
        <v>1959</v>
      </c>
      <c r="V28" s="5">
        <f t="shared" si="0"/>
        <v>63</v>
      </c>
      <c r="W28" s="1">
        <f t="shared" si="1"/>
        <v>0.63</v>
      </c>
      <c r="X28" s="3">
        <f t="shared" si="2"/>
        <v>126</v>
      </c>
      <c r="Y28" s="3">
        <f t="shared" si="3"/>
        <v>74</v>
      </c>
    </row>
    <row r="29" spans="1:25" x14ac:dyDescent="0.25">
      <c r="A29" s="20" t="s">
        <v>499</v>
      </c>
      <c r="B29" s="5" t="s">
        <v>1546</v>
      </c>
      <c r="C29" s="5" t="s">
        <v>1547</v>
      </c>
      <c r="D29" s="5"/>
      <c r="E29" s="5"/>
      <c r="F29" s="5"/>
      <c r="G29" s="5">
        <v>378.01437021999902</v>
      </c>
      <c r="H29" s="5">
        <v>53.214040073953299</v>
      </c>
      <c r="I29" s="19">
        <f>VLOOKUP("Couche de base",'Taux unitaires'!$B$9:$C$11,2,FALSE)</f>
        <v>200</v>
      </c>
      <c r="J29" s="19">
        <f>VLOOKUP("Revêtement de route",'Taux unitaires'!$B$9:$C$11,2,FALSE)</f>
        <v>101</v>
      </c>
      <c r="K29" s="19">
        <f t="shared" si="4"/>
        <v>75602.874043999807</v>
      </c>
      <c r="L29" s="19">
        <f t="shared" si="5"/>
        <v>38179.451392219904</v>
      </c>
      <c r="M29" s="19">
        <f t="shared" si="6"/>
        <v>76358.902784439808</v>
      </c>
      <c r="N29" s="19">
        <f t="shared" si="7"/>
        <v>151961.77682843962</v>
      </c>
      <c r="O29" s="5">
        <f>VLOOKUP(C29,'Durée de vie utile'!$B$15:$E$18,4,FALSE)</f>
        <v>125</v>
      </c>
      <c r="P29" s="5">
        <f>VLOOKUP(C29,'Durée de vie utile'!$B$15:$E$18,3,FALSE)</f>
        <v>100</v>
      </c>
      <c r="Q29" s="5">
        <f>VLOOKUP(C29,'Durée de vie utile'!$B$26:$E$29,4,FALSE)</f>
        <v>50</v>
      </c>
      <c r="R29" s="5">
        <f>VLOOKUP(C29,'Durée de vie utile'!$B$26:$E$29,3,FALSE)</f>
        <v>30</v>
      </c>
      <c r="S29" s="6">
        <f t="shared" si="8"/>
        <v>1519.6177682843961</v>
      </c>
      <c r="T29" s="6">
        <f>(N29/(1+'Autres hypothèses'!$D$5))*('Autres hypothèses'!$D$5/(((1+'Autres hypothèses'!$D$5)^Routes!P29-1)))</f>
        <v>882.54331460747153</v>
      </c>
      <c r="U29" s="5">
        <v>1959</v>
      </c>
      <c r="V29" s="5">
        <f t="shared" si="0"/>
        <v>63</v>
      </c>
      <c r="W29" s="1">
        <f t="shared" si="1"/>
        <v>0.63</v>
      </c>
      <c r="X29" s="3">
        <f t="shared" si="2"/>
        <v>126</v>
      </c>
      <c r="Y29" s="3">
        <f t="shared" si="3"/>
        <v>74</v>
      </c>
    </row>
    <row r="30" spans="1:25" x14ac:dyDescent="0.25">
      <c r="A30" s="20" t="s">
        <v>500</v>
      </c>
      <c r="B30" s="5" t="s">
        <v>1548</v>
      </c>
      <c r="C30" s="5" t="s">
        <v>1549</v>
      </c>
      <c r="D30" s="5"/>
      <c r="E30" s="5"/>
      <c r="F30" s="5"/>
      <c r="G30" s="5">
        <v>2375.1999999999998</v>
      </c>
      <c r="H30" s="5">
        <v>177.1</v>
      </c>
      <c r="I30" s="19">
        <f>VLOOKUP("Couche de base",'Taux unitaires'!$B$9:$C$11,2,FALSE)</f>
        <v>200</v>
      </c>
      <c r="J30" s="19">
        <f>VLOOKUP("Revêtement de route",'Taux unitaires'!$B$9:$C$11,2,FALSE)</f>
        <v>101</v>
      </c>
      <c r="K30" s="19">
        <f t="shared" si="4"/>
        <v>475039.99999999994</v>
      </c>
      <c r="L30" s="19">
        <f t="shared" si="5"/>
        <v>239895.19999999998</v>
      </c>
      <c r="M30" s="19">
        <f t="shared" si="6"/>
        <v>479790.39999999997</v>
      </c>
      <c r="N30" s="19">
        <f t="shared" si="7"/>
        <v>954830.39999999991</v>
      </c>
      <c r="O30" s="5">
        <f>VLOOKUP(C30,'Durée de vie utile'!$B$15:$E$18,4,FALSE)</f>
        <v>125</v>
      </c>
      <c r="P30" s="5">
        <f>VLOOKUP(C30,'Durée de vie utile'!$B$15:$E$18,3,FALSE)</f>
        <v>100</v>
      </c>
      <c r="Q30" s="5">
        <f>VLOOKUP(C30,'Durée de vie utile'!$B$26:$E$29,4,FALSE)</f>
        <v>50</v>
      </c>
      <c r="R30" s="5">
        <f>VLOOKUP(C30,'Durée de vie utile'!$B$26:$E$29,3,FALSE)</f>
        <v>30</v>
      </c>
      <c r="S30" s="6">
        <f t="shared" si="8"/>
        <v>9548.3039999999983</v>
      </c>
      <c r="T30" s="6">
        <f>(N30/(1+'Autres hypothèses'!$D$5))*('Autres hypothèses'!$D$5/(((1+'Autres hypothèses'!$D$5)^Routes!P30-1)))</f>
        <v>5545.3364898157115</v>
      </c>
      <c r="U30" s="5">
        <v>1963</v>
      </c>
      <c r="V30" s="5">
        <f t="shared" si="0"/>
        <v>59</v>
      </c>
      <c r="W30" s="1">
        <f t="shared" si="1"/>
        <v>0.59</v>
      </c>
      <c r="X30" s="3">
        <f t="shared" si="2"/>
        <v>118</v>
      </c>
      <c r="Y30" s="3">
        <f t="shared" si="3"/>
        <v>82</v>
      </c>
    </row>
    <row r="31" spans="1:25" x14ac:dyDescent="0.25">
      <c r="A31" s="20" t="s">
        <v>501</v>
      </c>
      <c r="B31" s="5" t="s">
        <v>1550</v>
      </c>
      <c r="C31" s="5" t="s">
        <v>1551</v>
      </c>
      <c r="D31" s="5"/>
      <c r="E31" s="5"/>
      <c r="F31" s="5"/>
      <c r="G31" s="5">
        <v>1254.3</v>
      </c>
      <c r="H31" s="5">
        <v>97.3</v>
      </c>
      <c r="I31" s="19">
        <f>VLOOKUP("Couche de base",'Taux unitaires'!$B$9:$C$11,2,FALSE)</f>
        <v>200</v>
      </c>
      <c r="J31" s="19">
        <f>VLOOKUP("Revêtement de route",'Taux unitaires'!$B$9:$C$11,2,FALSE)</f>
        <v>101</v>
      </c>
      <c r="K31" s="19">
        <f t="shared" si="4"/>
        <v>250860</v>
      </c>
      <c r="L31" s="19">
        <f t="shared" si="5"/>
        <v>126684.29999999999</v>
      </c>
      <c r="M31" s="19">
        <f t="shared" si="6"/>
        <v>253368.59999999998</v>
      </c>
      <c r="N31" s="19">
        <f t="shared" si="7"/>
        <v>504228.6</v>
      </c>
      <c r="O31" s="5">
        <f>VLOOKUP(C31,'Durée de vie utile'!$B$15:$E$18,4,FALSE)</f>
        <v>125</v>
      </c>
      <c r="P31" s="5">
        <f>VLOOKUP(C31,'Durée de vie utile'!$B$15:$E$18,3,FALSE)</f>
        <v>100</v>
      </c>
      <c r="Q31" s="5">
        <f>VLOOKUP(C31,'Durée de vie utile'!$B$26:$E$29,4,FALSE)</f>
        <v>50</v>
      </c>
      <c r="R31" s="5">
        <f>VLOOKUP(C31,'Durée de vie utile'!$B$26:$E$29,3,FALSE)</f>
        <v>30</v>
      </c>
      <c r="S31" s="6">
        <f t="shared" si="8"/>
        <v>5042.2860000000001</v>
      </c>
      <c r="T31" s="6">
        <f>(N31/(1+'Autres hypothèses'!$D$5))*('Autres hypothèses'!$D$5/(((1+'Autres hypothèses'!$D$5)^Routes!P31-1)))</f>
        <v>2928.3915287874061</v>
      </c>
      <c r="U31" s="5">
        <v>1959</v>
      </c>
      <c r="V31" s="5">
        <f t="shared" si="0"/>
        <v>63</v>
      </c>
      <c r="W31" s="1">
        <f t="shared" si="1"/>
        <v>0.63</v>
      </c>
      <c r="X31" s="3">
        <f t="shared" si="2"/>
        <v>126</v>
      </c>
      <c r="Y31" s="3">
        <f t="shared" si="3"/>
        <v>74</v>
      </c>
    </row>
    <row r="32" spans="1:25" x14ac:dyDescent="0.25">
      <c r="A32" s="20" t="s">
        <v>502</v>
      </c>
      <c r="B32" s="5" t="s">
        <v>1552</v>
      </c>
      <c r="C32" s="5" t="s">
        <v>1553</v>
      </c>
      <c r="D32" s="5"/>
      <c r="E32" s="5"/>
      <c r="F32" s="5"/>
      <c r="G32" s="5">
        <v>639.99128781000002</v>
      </c>
      <c r="H32" s="5">
        <v>59.805453687588297</v>
      </c>
      <c r="I32" s="19">
        <f>VLOOKUP("Couche de base",'Taux unitaires'!$B$9:$C$11,2,FALSE)</f>
        <v>200</v>
      </c>
      <c r="J32" s="19">
        <f>VLOOKUP("Revêtement de route",'Taux unitaires'!$B$9:$C$11,2,FALSE)</f>
        <v>101</v>
      </c>
      <c r="K32" s="19">
        <f t="shared" si="4"/>
        <v>127998.257562</v>
      </c>
      <c r="L32" s="19">
        <f t="shared" si="5"/>
        <v>64639.12006881</v>
      </c>
      <c r="M32" s="19">
        <f t="shared" si="6"/>
        <v>129278.24013762</v>
      </c>
      <c r="N32" s="19">
        <f t="shared" si="7"/>
        <v>257276.49769962</v>
      </c>
      <c r="O32" s="5">
        <f>VLOOKUP(C32,'Durée de vie utile'!$B$15:$E$18,4,FALSE)</f>
        <v>125</v>
      </c>
      <c r="P32" s="5">
        <f>VLOOKUP(C32,'Durée de vie utile'!$B$15:$E$18,3,FALSE)</f>
        <v>100</v>
      </c>
      <c r="Q32" s="5">
        <f>VLOOKUP(C32,'Durée de vie utile'!$B$26:$E$29,4,FALSE)</f>
        <v>50</v>
      </c>
      <c r="R32" s="5">
        <f>VLOOKUP(C32,'Durée de vie utile'!$B$26:$E$29,3,FALSE)</f>
        <v>30</v>
      </c>
      <c r="S32" s="6">
        <f t="shared" si="8"/>
        <v>2572.7649769961999</v>
      </c>
      <c r="T32" s="6">
        <f>(N32/(1+'Autres hypothèses'!$D$5))*('Autres hypothèses'!$D$5/(((1+'Autres hypothèses'!$D$5)^Routes!P32-1)))</f>
        <v>1494.1760868377157</v>
      </c>
      <c r="U32" s="5">
        <v>1959</v>
      </c>
      <c r="V32" s="5">
        <f t="shared" si="0"/>
        <v>63</v>
      </c>
      <c r="W32" s="1">
        <f t="shared" si="1"/>
        <v>0.63</v>
      </c>
      <c r="X32" s="3">
        <f t="shared" si="2"/>
        <v>126</v>
      </c>
      <c r="Y32" s="3">
        <f t="shared" si="3"/>
        <v>74</v>
      </c>
    </row>
    <row r="33" spans="1:25" x14ac:dyDescent="0.25">
      <c r="A33" s="20" t="s">
        <v>503</v>
      </c>
      <c r="B33" s="5" t="s">
        <v>1554</v>
      </c>
      <c r="C33" s="5" t="s">
        <v>1555</v>
      </c>
      <c r="D33" s="5"/>
      <c r="E33" s="5"/>
      <c r="F33" s="5"/>
      <c r="G33" s="5">
        <v>3155.6992567399898</v>
      </c>
      <c r="H33" s="5">
        <v>248.218071114644</v>
      </c>
      <c r="I33" s="19">
        <f>VLOOKUP("Couche de base",'Taux unitaires'!$B$9:$C$11,2,FALSE)</f>
        <v>200</v>
      </c>
      <c r="J33" s="19">
        <f>VLOOKUP("Revêtement de route",'Taux unitaires'!$B$9:$C$11,2,FALSE)</f>
        <v>101</v>
      </c>
      <c r="K33" s="19">
        <f t="shared" si="4"/>
        <v>631139.8513479979</v>
      </c>
      <c r="L33" s="19">
        <f t="shared" si="5"/>
        <v>318725.624930739</v>
      </c>
      <c r="M33" s="19">
        <f t="shared" si="6"/>
        <v>637451.24986147799</v>
      </c>
      <c r="N33" s="19">
        <f t="shared" si="7"/>
        <v>1268591.1012094759</v>
      </c>
      <c r="O33" s="5">
        <f>VLOOKUP(C33,'Durée de vie utile'!$B$15:$E$18,4,FALSE)</f>
        <v>125</v>
      </c>
      <c r="P33" s="5">
        <f>VLOOKUP(C33,'Durée de vie utile'!$B$15:$E$18,3,FALSE)</f>
        <v>100</v>
      </c>
      <c r="Q33" s="5">
        <f>VLOOKUP(C33,'Durée de vie utile'!$B$26:$E$29,4,FALSE)</f>
        <v>50</v>
      </c>
      <c r="R33" s="5">
        <f>VLOOKUP(C33,'Durée de vie utile'!$B$26:$E$29,3,FALSE)</f>
        <v>30</v>
      </c>
      <c r="S33" s="6">
        <f t="shared" si="8"/>
        <v>12685.911012094759</v>
      </c>
      <c r="T33" s="6">
        <f>(N33/(1+'Autres hypothèses'!$D$5))*('Autres hypothèses'!$D$5/(((1+'Autres hypothèses'!$D$5)^Routes!P33-1)))</f>
        <v>7367.5539909416411</v>
      </c>
      <c r="U33" s="5">
        <v>1963</v>
      </c>
      <c r="V33" s="5">
        <f t="shared" si="0"/>
        <v>59</v>
      </c>
      <c r="W33" s="1">
        <f t="shared" si="1"/>
        <v>0.59</v>
      </c>
      <c r="X33" s="3">
        <f t="shared" si="2"/>
        <v>118</v>
      </c>
      <c r="Y33" s="3">
        <f t="shared" si="3"/>
        <v>82</v>
      </c>
    </row>
    <row r="34" spans="1:25" x14ac:dyDescent="0.25">
      <c r="A34" s="20" t="s">
        <v>504</v>
      </c>
      <c r="B34" s="5" t="s">
        <v>1556</v>
      </c>
      <c r="C34" s="5" t="s">
        <v>1557</v>
      </c>
      <c r="D34" s="5"/>
      <c r="E34" s="5"/>
      <c r="F34" s="5"/>
      <c r="G34" s="5">
        <v>11622</v>
      </c>
      <c r="H34" s="5">
        <v>649.4</v>
      </c>
      <c r="I34" s="19">
        <f>VLOOKUP("Couche de base",'Taux unitaires'!$B$9:$C$11,2,FALSE)</f>
        <v>200</v>
      </c>
      <c r="J34" s="19">
        <f>VLOOKUP("Revêtement de route",'Taux unitaires'!$B$9:$C$11,2,FALSE)</f>
        <v>101</v>
      </c>
      <c r="K34" s="19">
        <f t="shared" si="4"/>
        <v>2324400</v>
      </c>
      <c r="L34" s="19">
        <f t="shared" si="5"/>
        <v>1173822</v>
      </c>
      <c r="M34" s="19">
        <f>(ROUNDDOWN(P34/R34,0)-1)*L34</f>
        <v>1173822</v>
      </c>
      <c r="N34" s="19">
        <f t="shared" si="7"/>
        <v>3498222</v>
      </c>
      <c r="O34" s="5">
        <f>VLOOKUP(C34,'Durée de vie utile'!$B$15:$E$18,4,FALSE)</f>
        <v>90</v>
      </c>
      <c r="P34" s="5">
        <f>VLOOKUP(C34,'Durée de vie utile'!$B$15:$E$18,3,FALSE)</f>
        <v>60</v>
      </c>
      <c r="Q34" s="5">
        <f>VLOOKUP(C34,'Durée de vie utile'!$B$26:$E$29,4,FALSE)</f>
        <v>30</v>
      </c>
      <c r="R34" s="5">
        <f>VLOOKUP(C34,'Durée de vie utile'!$B$26:$E$29,3,FALSE)</f>
        <v>25</v>
      </c>
      <c r="S34" s="6">
        <f t="shared" si="8"/>
        <v>58303.7</v>
      </c>
      <c r="T34" s="6">
        <f>(N34/(1+'Autres hypothèses'!$D$5))*('Autres hypothèses'!$D$5/(((1+'Autres hypothèses'!$D$5)^Routes!P34-1)))</f>
        <v>42409.699276408333</v>
      </c>
      <c r="U34" s="5">
        <v>1960</v>
      </c>
      <c r="V34" s="5">
        <f t="shared" si="0"/>
        <v>62</v>
      </c>
      <c r="W34" s="1">
        <f t="shared" si="1"/>
        <v>1.0333333333333334</v>
      </c>
      <c r="X34" s="3">
        <f t="shared" si="2"/>
        <v>206.66666666666669</v>
      </c>
      <c r="Y34" s="3">
        <f t="shared" si="3"/>
        <v>-6.6666666666666856</v>
      </c>
    </row>
    <row r="35" spans="1:25" x14ac:dyDescent="0.25">
      <c r="A35" s="20" t="s">
        <v>505</v>
      </c>
      <c r="B35" s="5" t="s">
        <v>1558</v>
      </c>
      <c r="C35" s="5" t="s">
        <v>1559</v>
      </c>
      <c r="D35" s="5"/>
      <c r="E35" s="5"/>
      <c r="F35" s="5"/>
      <c r="G35" s="5">
        <v>202.7605384</v>
      </c>
      <c r="H35" s="5">
        <v>18.4327762180035</v>
      </c>
      <c r="I35" s="19">
        <f>VLOOKUP("Couche de base",'Taux unitaires'!$B$9:$C$11,2,FALSE)</f>
        <v>200</v>
      </c>
      <c r="J35" s="19">
        <f>VLOOKUP("Revêtement de route",'Taux unitaires'!$B$9:$C$11,2,FALSE)</f>
        <v>101</v>
      </c>
      <c r="K35" s="19">
        <f t="shared" si="4"/>
        <v>40552.107680000001</v>
      </c>
      <c r="L35" s="19">
        <f t="shared" si="5"/>
        <v>20478.814378399999</v>
      </c>
      <c r="M35" s="19">
        <f t="shared" si="6"/>
        <v>40957.628756799997</v>
      </c>
      <c r="N35" s="19">
        <f t="shared" si="7"/>
        <v>81509.736436799998</v>
      </c>
      <c r="O35" s="5">
        <f>VLOOKUP(C35,'Durée de vie utile'!$B$15:$E$18,4,FALSE)</f>
        <v>125</v>
      </c>
      <c r="P35" s="5">
        <f>VLOOKUP(C35,'Durée de vie utile'!$B$15:$E$18,3,FALSE)</f>
        <v>100</v>
      </c>
      <c r="Q35" s="5">
        <f>VLOOKUP(C35,'Durée de vie utile'!$B$26:$E$29,4,FALSE)</f>
        <v>50</v>
      </c>
      <c r="R35" s="5">
        <f>VLOOKUP(C35,'Durée de vie utile'!$B$26:$E$29,3,FALSE)</f>
        <v>30</v>
      </c>
      <c r="S35" s="6">
        <f t="shared" si="8"/>
        <v>815.09736436799994</v>
      </c>
      <c r="T35" s="6">
        <f>(N35/(1+'Autres hypothèses'!$D$5))*('Autres hypothèses'!$D$5/(((1+'Autres hypothèses'!$D$5)^Routes!P35-1)))</f>
        <v>473.38136253123946</v>
      </c>
      <c r="U35" s="5">
        <v>1960</v>
      </c>
      <c r="V35" s="5">
        <f t="shared" si="0"/>
        <v>62</v>
      </c>
      <c r="W35" s="1">
        <f t="shared" si="1"/>
        <v>0.62</v>
      </c>
      <c r="X35" s="3">
        <f t="shared" si="2"/>
        <v>124</v>
      </c>
      <c r="Y35" s="3">
        <f t="shared" si="3"/>
        <v>76</v>
      </c>
    </row>
    <row r="36" spans="1:25" x14ac:dyDescent="0.25">
      <c r="A36" s="20" t="s">
        <v>506</v>
      </c>
      <c r="B36" s="5" t="s">
        <v>1560</v>
      </c>
      <c r="C36" s="5" t="s">
        <v>1561</v>
      </c>
      <c r="D36" s="5"/>
      <c r="E36" s="5"/>
      <c r="F36" s="5"/>
      <c r="G36" s="5">
        <v>3226</v>
      </c>
      <c r="H36" s="5">
        <v>315.89999999999998</v>
      </c>
      <c r="I36" s="19">
        <f>VLOOKUP("Couche de base",'Taux unitaires'!$B$9:$C$11,2,FALSE)</f>
        <v>200</v>
      </c>
      <c r="J36" s="19">
        <f>VLOOKUP("Revêtement de route",'Taux unitaires'!$B$9:$C$11,2,FALSE)</f>
        <v>101</v>
      </c>
      <c r="K36" s="19">
        <f t="shared" si="4"/>
        <v>645200</v>
      </c>
      <c r="L36" s="19">
        <f t="shared" si="5"/>
        <v>325826</v>
      </c>
      <c r="M36" s="19">
        <f t="shared" si="6"/>
        <v>651652</v>
      </c>
      <c r="N36" s="19">
        <f t="shared" si="7"/>
        <v>1296852</v>
      </c>
      <c r="O36" s="5">
        <f>VLOOKUP(C36,'Durée de vie utile'!$B$15:$E$18,4,FALSE)</f>
        <v>100</v>
      </c>
      <c r="P36" s="5">
        <f>VLOOKUP(C36,'Durée de vie utile'!$B$15:$E$18,3,FALSE)</f>
        <v>80</v>
      </c>
      <c r="Q36" s="5">
        <f>VLOOKUP(C36,'Durée de vie utile'!$B$26:$E$29,4,FALSE)</f>
        <v>40</v>
      </c>
      <c r="R36" s="5">
        <f>VLOOKUP(C36,'Durée de vie utile'!$B$26:$E$29,3,FALSE)</f>
        <v>25</v>
      </c>
      <c r="S36" s="6">
        <f t="shared" si="8"/>
        <v>16210.65</v>
      </c>
      <c r="T36" s="6">
        <f>(N36/(1+'Autres hypothèses'!$D$5))*('Autres hypothèses'!$D$5/(((1+'Autres hypothèses'!$D$5)^Routes!P36-1)))</f>
        <v>10553.101194452436</v>
      </c>
      <c r="U36" s="5">
        <v>1960</v>
      </c>
      <c r="V36" s="5">
        <f t="shared" si="0"/>
        <v>62</v>
      </c>
      <c r="W36" s="1">
        <f t="shared" si="1"/>
        <v>0.77500000000000002</v>
      </c>
      <c r="X36" s="3">
        <f t="shared" si="2"/>
        <v>155</v>
      </c>
      <c r="Y36" s="3">
        <f t="shared" si="3"/>
        <v>45</v>
      </c>
    </row>
    <row r="37" spans="1:25" x14ac:dyDescent="0.25">
      <c r="A37" s="20" t="s">
        <v>507</v>
      </c>
      <c r="B37" s="5" t="s">
        <v>1562</v>
      </c>
      <c r="C37" s="5" t="s">
        <v>1563</v>
      </c>
      <c r="D37" s="5"/>
      <c r="E37" s="5"/>
      <c r="F37" s="5"/>
      <c r="G37" s="5">
        <v>130.30000000000001</v>
      </c>
      <c r="H37" s="5">
        <v>26.1</v>
      </c>
      <c r="I37" s="19">
        <f>VLOOKUP("Couche de base",'Taux unitaires'!$B$9:$C$11,2,FALSE)</f>
        <v>200</v>
      </c>
      <c r="J37" s="19">
        <f>VLOOKUP("Revêtement de route",'Taux unitaires'!$B$9:$C$11,2,FALSE)</f>
        <v>101</v>
      </c>
      <c r="K37" s="19">
        <f t="shared" si="4"/>
        <v>26060.000000000004</v>
      </c>
      <c r="L37" s="19">
        <f t="shared" si="5"/>
        <v>13160.300000000001</v>
      </c>
      <c r="M37" s="19">
        <f t="shared" si="6"/>
        <v>26320.600000000002</v>
      </c>
      <c r="N37" s="19">
        <f t="shared" si="7"/>
        <v>52380.600000000006</v>
      </c>
      <c r="O37" s="5">
        <f>VLOOKUP(C37,'Durée de vie utile'!$B$15:$E$18,4,FALSE)</f>
        <v>125</v>
      </c>
      <c r="P37" s="5">
        <f>VLOOKUP(C37,'Durée de vie utile'!$B$15:$E$18,3,FALSE)</f>
        <v>100</v>
      </c>
      <c r="Q37" s="5">
        <f>VLOOKUP(C37,'Durée de vie utile'!$B$26:$E$29,4,FALSE)</f>
        <v>50</v>
      </c>
      <c r="R37" s="5">
        <f>VLOOKUP(C37,'Durée de vie utile'!$B$26:$E$29,3,FALSE)</f>
        <v>30</v>
      </c>
      <c r="S37" s="6">
        <f t="shared" si="8"/>
        <v>523.80600000000004</v>
      </c>
      <c r="T37" s="6">
        <f>(N37/(1+'Autres hypothèses'!$D$5))*('Autres hypothèses'!$D$5/(((1+'Autres hypothèses'!$D$5)^Routes!P37-1)))</f>
        <v>304.20905381567337</v>
      </c>
      <c r="U37" s="5">
        <v>1961</v>
      </c>
      <c r="V37" s="5">
        <f t="shared" si="0"/>
        <v>61</v>
      </c>
      <c r="W37" s="1">
        <f t="shared" si="1"/>
        <v>0.61</v>
      </c>
      <c r="X37" s="3">
        <f t="shared" si="2"/>
        <v>122</v>
      </c>
      <c r="Y37" s="3">
        <f t="shared" si="3"/>
        <v>78</v>
      </c>
    </row>
    <row r="38" spans="1:25" x14ac:dyDescent="0.25">
      <c r="A38" s="20" t="s">
        <v>508</v>
      </c>
      <c r="B38" s="5" t="s">
        <v>1564</v>
      </c>
      <c r="C38" s="5" t="s">
        <v>1565</v>
      </c>
      <c r="D38" s="5"/>
      <c r="E38" s="5"/>
      <c r="F38" s="5"/>
      <c r="G38" s="5">
        <v>802.35893059</v>
      </c>
      <c r="H38" s="5">
        <v>123.55574140583199</v>
      </c>
      <c r="I38" s="19">
        <f>VLOOKUP("Couche de base",'Taux unitaires'!$B$9:$C$11,2,FALSE)</f>
        <v>200</v>
      </c>
      <c r="J38" s="19">
        <f>VLOOKUP("Revêtement de route",'Taux unitaires'!$B$9:$C$11,2,FALSE)</f>
        <v>101</v>
      </c>
      <c r="K38" s="19">
        <f t="shared" si="4"/>
        <v>160471.78611799999</v>
      </c>
      <c r="L38" s="19">
        <f t="shared" si="5"/>
        <v>81038.251989590004</v>
      </c>
      <c r="M38" s="19">
        <f t="shared" si="6"/>
        <v>162076.50397918001</v>
      </c>
      <c r="N38" s="19">
        <f t="shared" si="7"/>
        <v>322548.29009718</v>
      </c>
      <c r="O38" s="5">
        <f>VLOOKUP(C38,'Durée de vie utile'!$B$15:$E$18,4,FALSE)</f>
        <v>125</v>
      </c>
      <c r="P38" s="5">
        <f>VLOOKUP(C38,'Durée de vie utile'!$B$15:$E$18,3,FALSE)</f>
        <v>100</v>
      </c>
      <c r="Q38" s="5">
        <f>VLOOKUP(C38,'Durée de vie utile'!$B$26:$E$29,4,FALSE)</f>
        <v>50</v>
      </c>
      <c r="R38" s="5">
        <f>VLOOKUP(C38,'Durée de vie utile'!$B$26:$E$29,3,FALSE)</f>
        <v>30</v>
      </c>
      <c r="S38" s="6">
        <f t="shared" si="8"/>
        <v>3225.4829009718001</v>
      </c>
      <c r="T38" s="6">
        <f>(N38/(1+'Autres hypothèses'!$D$5))*('Autres hypothèses'!$D$5/(((1+'Autres hypothèses'!$D$5)^Routes!P38-1)))</f>
        <v>1873.2528863801949</v>
      </c>
      <c r="U38" s="5">
        <v>1965</v>
      </c>
      <c r="V38" s="5">
        <f t="shared" si="0"/>
        <v>57</v>
      </c>
      <c r="W38" s="1">
        <f t="shared" si="1"/>
        <v>0.56999999999999995</v>
      </c>
      <c r="X38" s="3">
        <f t="shared" si="2"/>
        <v>113.99999999999999</v>
      </c>
      <c r="Y38" s="3">
        <f t="shared" si="3"/>
        <v>86.000000000000014</v>
      </c>
    </row>
    <row r="39" spans="1:25" x14ac:dyDescent="0.25">
      <c r="A39" s="20" t="s">
        <v>509</v>
      </c>
      <c r="B39" s="5" t="s">
        <v>1566</v>
      </c>
      <c r="C39" s="5" t="s">
        <v>1567</v>
      </c>
      <c r="D39" s="5"/>
      <c r="E39" s="5"/>
      <c r="F39" s="5"/>
      <c r="G39" s="5">
        <v>427</v>
      </c>
      <c r="H39" s="5">
        <v>43.6</v>
      </c>
      <c r="I39" s="19">
        <f>VLOOKUP("Couche de base",'Taux unitaires'!$B$9:$C$11,2,FALSE)</f>
        <v>200</v>
      </c>
      <c r="J39" s="19">
        <f>VLOOKUP("Revêtement de route",'Taux unitaires'!$B$9:$C$11,2,FALSE)</f>
        <v>101</v>
      </c>
      <c r="K39" s="19">
        <f t="shared" si="4"/>
        <v>85400</v>
      </c>
      <c r="L39" s="19">
        <f t="shared" si="5"/>
        <v>43127</v>
      </c>
      <c r="M39" s="19">
        <f t="shared" si="6"/>
        <v>86254</v>
      </c>
      <c r="N39" s="19">
        <f t="shared" si="7"/>
        <v>171654</v>
      </c>
      <c r="O39" s="5">
        <f>VLOOKUP(C39,'Durée de vie utile'!$B$15:$E$18,4,FALSE)</f>
        <v>125</v>
      </c>
      <c r="P39" s="5">
        <f>VLOOKUP(C39,'Durée de vie utile'!$B$15:$E$18,3,FALSE)</f>
        <v>100</v>
      </c>
      <c r="Q39" s="5">
        <f>VLOOKUP(C39,'Durée de vie utile'!$B$26:$E$29,4,FALSE)</f>
        <v>50</v>
      </c>
      <c r="R39" s="5">
        <f>VLOOKUP(C39,'Durée de vie utile'!$B$26:$E$29,3,FALSE)</f>
        <v>30</v>
      </c>
      <c r="S39" s="6">
        <f t="shared" si="8"/>
        <v>1716.54</v>
      </c>
      <c r="T39" s="6">
        <f>(N39/(1+'Autres hypothèses'!$D$5))*('Autres hypothèses'!$D$5/(((1+'Autres hypothèses'!$D$5)^Routes!P39-1)))</f>
        <v>996.9091786591905</v>
      </c>
      <c r="U39" s="5">
        <v>1961</v>
      </c>
      <c r="V39" s="5">
        <f t="shared" si="0"/>
        <v>61</v>
      </c>
      <c r="W39" s="1">
        <f t="shared" si="1"/>
        <v>0.61</v>
      </c>
      <c r="X39" s="3">
        <f t="shared" si="2"/>
        <v>122</v>
      </c>
      <c r="Y39" s="3">
        <f t="shared" si="3"/>
        <v>78</v>
      </c>
    </row>
    <row r="40" spans="1:25" x14ac:dyDescent="0.25">
      <c r="A40" s="20" t="s">
        <v>510</v>
      </c>
      <c r="B40" s="5" t="s">
        <v>1568</v>
      </c>
      <c r="C40" s="5" t="s">
        <v>1569</v>
      </c>
      <c r="D40" s="5"/>
      <c r="E40" s="5"/>
      <c r="F40" s="5"/>
      <c r="G40" s="5">
        <v>2642.7020161300002</v>
      </c>
      <c r="H40" s="5">
        <v>242.12465391067499</v>
      </c>
      <c r="I40" s="19">
        <f>VLOOKUP("Couche de base",'Taux unitaires'!$B$9:$C$11,2,FALSE)</f>
        <v>200</v>
      </c>
      <c r="J40" s="19">
        <f>VLOOKUP("Revêtement de route",'Taux unitaires'!$B$9:$C$11,2,FALSE)</f>
        <v>101</v>
      </c>
      <c r="K40" s="19">
        <f t="shared" si="4"/>
        <v>528540.40322600002</v>
      </c>
      <c r="L40" s="19">
        <f t="shared" si="5"/>
        <v>266912.90362913004</v>
      </c>
      <c r="M40" s="19">
        <f t="shared" si="6"/>
        <v>533825.80725826009</v>
      </c>
      <c r="N40" s="19">
        <f t="shared" si="7"/>
        <v>1062366.2104842602</v>
      </c>
      <c r="O40" s="5">
        <f>VLOOKUP(C40,'Durée de vie utile'!$B$15:$E$18,4,FALSE)</f>
        <v>125</v>
      </c>
      <c r="P40" s="5">
        <f>VLOOKUP(C40,'Durée de vie utile'!$B$15:$E$18,3,FALSE)</f>
        <v>100</v>
      </c>
      <c r="Q40" s="5">
        <f>VLOOKUP(C40,'Durée de vie utile'!$B$26:$E$29,4,FALSE)</f>
        <v>50</v>
      </c>
      <c r="R40" s="5">
        <f>VLOOKUP(C40,'Durée de vie utile'!$B$26:$E$29,3,FALSE)</f>
        <v>30</v>
      </c>
      <c r="S40" s="6">
        <f t="shared" si="8"/>
        <v>10623.662104842602</v>
      </c>
      <c r="T40" s="6">
        <f>(N40/(1+'Autres hypothèses'!$D$5))*('Autres hypothèses'!$D$5/(((1+'Autres hypothèses'!$D$5)^Routes!P40-1)))</f>
        <v>6169.8686096982328</v>
      </c>
      <c r="U40" s="5">
        <v>1961</v>
      </c>
      <c r="V40" s="5">
        <f t="shared" si="0"/>
        <v>61</v>
      </c>
      <c r="W40" s="1">
        <f t="shared" si="1"/>
        <v>0.61</v>
      </c>
      <c r="X40" s="3">
        <f t="shared" si="2"/>
        <v>122</v>
      </c>
      <c r="Y40" s="3">
        <f t="shared" si="3"/>
        <v>78</v>
      </c>
    </row>
    <row r="41" spans="1:25" x14ac:dyDescent="0.25">
      <c r="A41" s="20" t="s">
        <v>511</v>
      </c>
      <c r="B41" s="5" t="s">
        <v>1570</v>
      </c>
      <c r="C41" s="5" t="s">
        <v>1571</v>
      </c>
      <c r="D41" s="5"/>
      <c r="E41" s="5"/>
      <c r="F41" s="5"/>
      <c r="G41" s="5">
        <v>985.69559572000003</v>
      </c>
      <c r="H41" s="5">
        <v>93.984928876819694</v>
      </c>
      <c r="I41" s="19">
        <f>VLOOKUP("Couche de base",'Taux unitaires'!$B$9:$C$11,2,FALSE)</f>
        <v>200</v>
      </c>
      <c r="J41" s="19">
        <f>VLOOKUP("Revêtement de route",'Taux unitaires'!$B$9:$C$11,2,FALSE)</f>
        <v>101</v>
      </c>
      <c r="K41" s="19">
        <f t="shared" si="4"/>
        <v>197139.119144</v>
      </c>
      <c r="L41" s="19">
        <f t="shared" si="5"/>
        <v>99555.25516772001</v>
      </c>
      <c r="M41" s="19">
        <f t="shared" si="6"/>
        <v>199110.51033544002</v>
      </c>
      <c r="N41" s="19">
        <f t="shared" si="7"/>
        <v>396249.62947944005</v>
      </c>
      <c r="O41" s="5">
        <f>VLOOKUP(C41,'Durée de vie utile'!$B$15:$E$18,4,FALSE)</f>
        <v>125</v>
      </c>
      <c r="P41" s="5">
        <f>VLOOKUP(C41,'Durée de vie utile'!$B$15:$E$18,3,FALSE)</f>
        <v>100</v>
      </c>
      <c r="Q41" s="5">
        <f>VLOOKUP(C41,'Durée de vie utile'!$B$26:$E$29,4,FALSE)</f>
        <v>50</v>
      </c>
      <c r="R41" s="5">
        <f>VLOOKUP(C41,'Durée de vie utile'!$B$26:$E$29,3,FALSE)</f>
        <v>30</v>
      </c>
      <c r="S41" s="6">
        <f t="shared" si="8"/>
        <v>3962.4962947944005</v>
      </c>
      <c r="T41" s="6">
        <f>(N41/(1+'Autres hypothèses'!$D$5))*('Autres hypothèses'!$D$5/(((1+'Autres hypothèses'!$D$5)^Routes!P41-1)))</f>
        <v>2301.2856832253087</v>
      </c>
      <c r="U41" s="5">
        <v>1962</v>
      </c>
      <c r="V41" s="5">
        <f t="shared" si="0"/>
        <v>60</v>
      </c>
      <c r="W41" s="1">
        <f t="shared" si="1"/>
        <v>0.6</v>
      </c>
      <c r="X41" s="3">
        <f t="shared" si="2"/>
        <v>120</v>
      </c>
      <c r="Y41" s="3">
        <f t="shared" si="3"/>
        <v>80</v>
      </c>
    </row>
    <row r="42" spans="1:25" x14ac:dyDescent="0.25">
      <c r="A42" s="20" t="s">
        <v>512</v>
      </c>
      <c r="B42" s="5" t="s">
        <v>1572</v>
      </c>
      <c r="C42" s="5" t="s">
        <v>1573</v>
      </c>
      <c r="D42" s="5"/>
      <c r="E42" s="5"/>
      <c r="F42" s="5"/>
      <c r="G42" s="5">
        <v>1841.2</v>
      </c>
      <c r="H42" s="5">
        <v>122.7</v>
      </c>
      <c r="I42" s="19">
        <f>VLOOKUP("Couche de base",'Taux unitaires'!$B$9:$C$11,2,FALSE)</f>
        <v>200</v>
      </c>
      <c r="J42" s="19">
        <f>VLOOKUP("Revêtement de route",'Taux unitaires'!$B$9:$C$11,2,FALSE)</f>
        <v>101</v>
      </c>
      <c r="K42" s="19">
        <f t="shared" si="4"/>
        <v>368240</v>
      </c>
      <c r="L42" s="19">
        <f t="shared" si="5"/>
        <v>185961.2</v>
      </c>
      <c r="M42" s="19">
        <f t="shared" si="6"/>
        <v>371922.4</v>
      </c>
      <c r="N42" s="19">
        <f t="shared" si="7"/>
        <v>740162.4</v>
      </c>
      <c r="O42" s="5">
        <f>VLOOKUP(C42,'Durée de vie utile'!$B$15:$E$18,4,FALSE)</f>
        <v>125</v>
      </c>
      <c r="P42" s="5">
        <f>VLOOKUP(C42,'Durée de vie utile'!$B$15:$E$18,3,FALSE)</f>
        <v>100</v>
      </c>
      <c r="Q42" s="5">
        <f>VLOOKUP(C42,'Durée de vie utile'!$B$26:$E$29,4,FALSE)</f>
        <v>50</v>
      </c>
      <c r="R42" s="5">
        <f>VLOOKUP(C42,'Durée de vie utile'!$B$26:$E$29,3,FALSE)</f>
        <v>30</v>
      </c>
      <c r="S42" s="6">
        <f t="shared" si="8"/>
        <v>7401.6239999999998</v>
      </c>
      <c r="T42" s="6">
        <f>(N42/(1+'Autres hypothèses'!$D$5))*('Autres hypothèses'!$D$5/(((1+'Autres hypothèses'!$D$5)^Routes!P42-1)))</f>
        <v>4298.6163460124153</v>
      </c>
      <c r="U42" s="5">
        <v>1962</v>
      </c>
      <c r="V42" s="5">
        <f t="shared" si="0"/>
        <v>60</v>
      </c>
      <c r="W42" s="1">
        <f t="shared" si="1"/>
        <v>0.6</v>
      </c>
      <c r="X42" s="3">
        <f t="shared" si="2"/>
        <v>120</v>
      </c>
      <c r="Y42" s="3">
        <f t="shared" si="3"/>
        <v>80</v>
      </c>
    </row>
    <row r="43" spans="1:25" x14ac:dyDescent="0.25">
      <c r="A43" s="20" t="s">
        <v>513</v>
      </c>
      <c r="B43" s="5" t="s">
        <v>1574</v>
      </c>
      <c r="C43" s="5" t="s">
        <v>1575</v>
      </c>
      <c r="D43" s="5"/>
      <c r="E43" s="5"/>
      <c r="F43" s="5"/>
      <c r="G43" s="5">
        <v>719.8</v>
      </c>
      <c r="H43" s="5">
        <v>55.8</v>
      </c>
      <c r="I43" s="19">
        <f>VLOOKUP("Couche de base",'Taux unitaires'!$B$9:$C$11,2,FALSE)</f>
        <v>200</v>
      </c>
      <c r="J43" s="19">
        <f>VLOOKUP("Revêtement de route",'Taux unitaires'!$B$9:$C$11,2,FALSE)</f>
        <v>101</v>
      </c>
      <c r="K43" s="19">
        <f t="shared" si="4"/>
        <v>143960</v>
      </c>
      <c r="L43" s="19">
        <f t="shared" si="5"/>
        <v>72699.799999999988</v>
      </c>
      <c r="M43" s="19">
        <f t="shared" si="6"/>
        <v>145399.59999999998</v>
      </c>
      <c r="N43" s="19">
        <f t="shared" si="7"/>
        <v>289359.59999999998</v>
      </c>
      <c r="O43" s="5">
        <f>VLOOKUP(C43,'Durée de vie utile'!$B$15:$E$18,4,FALSE)</f>
        <v>125</v>
      </c>
      <c r="P43" s="5">
        <f>VLOOKUP(C43,'Durée de vie utile'!$B$15:$E$18,3,FALSE)</f>
        <v>100</v>
      </c>
      <c r="Q43" s="5">
        <f>VLOOKUP(C43,'Durée de vie utile'!$B$26:$E$29,4,FALSE)</f>
        <v>50</v>
      </c>
      <c r="R43" s="5">
        <f>VLOOKUP(C43,'Durée de vie utile'!$B$26:$E$29,3,FALSE)</f>
        <v>30</v>
      </c>
      <c r="S43" s="6">
        <f t="shared" si="8"/>
        <v>2893.5959999999995</v>
      </c>
      <c r="T43" s="6">
        <f>(N43/(1+'Autres hypothèses'!$D$5))*('Autres hypothèses'!$D$5/(((1+'Autres hypothèses'!$D$5)^Routes!P43-1)))</f>
        <v>1680.5040440254922</v>
      </c>
      <c r="U43" s="5">
        <v>1959</v>
      </c>
      <c r="V43" s="5">
        <f t="shared" si="0"/>
        <v>63</v>
      </c>
      <c r="W43" s="1">
        <f t="shared" si="1"/>
        <v>0.63</v>
      </c>
      <c r="X43" s="3">
        <f t="shared" si="2"/>
        <v>126</v>
      </c>
      <c r="Y43" s="3">
        <f t="shared" si="3"/>
        <v>74</v>
      </c>
    </row>
    <row r="44" spans="1:25" x14ac:dyDescent="0.25">
      <c r="A44" s="20" t="s">
        <v>514</v>
      </c>
      <c r="B44" s="5" t="s">
        <v>1576</v>
      </c>
      <c r="C44" s="5" t="s">
        <v>1577</v>
      </c>
      <c r="D44" s="5"/>
      <c r="E44" s="5"/>
      <c r="F44" s="5"/>
      <c r="G44" s="5">
        <v>1146.99236949999</v>
      </c>
      <c r="H44" s="5">
        <v>111.305768388443</v>
      </c>
      <c r="I44" s="19">
        <f>VLOOKUP("Couche de base",'Taux unitaires'!$B$9:$C$11,2,FALSE)</f>
        <v>200</v>
      </c>
      <c r="J44" s="19">
        <f>VLOOKUP("Revêtement de route",'Taux unitaires'!$B$9:$C$11,2,FALSE)</f>
        <v>101</v>
      </c>
      <c r="K44" s="19">
        <f t="shared" si="4"/>
        <v>229398.473899998</v>
      </c>
      <c r="L44" s="19">
        <f t="shared" si="5"/>
        <v>115846.22931949899</v>
      </c>
      <c r="M44" s="19">
        <f t="shared" si="6"/>
        <v>231692.45863899798</v>
      </c>
      <c r="N44" s="19">
        <f t="shared" si="7"/>
        <v>461090.93253899598</v>
      </c>
      <c r="O44" s="5">
        <f>VLOOKUP(C44,'Durée de vie utile'!$B$15:$E$18,4,FALSE)</f>
        <v>125</v>
      </c>
      <c r="P44" s="5">
        <f>VLOOKUP(C44,'Durée de vie utile'!$B$15:$E$18,3,FALSE)</f>
        <v>100</v>
      </c>
      <c r="Q44" s="5">
        <f>VLOOKUP(C44,'Durée de vie utile'!$B$26:$E$29,4,FALSE)</f>
        <v>50</v>
      </c>
      <c r="R44" s="5">
        <f>VLOOKUP(C44,'Durée de vie utile'!$B$26:$E$29,3,FALSE)</f>
        <v>30</v>
      </c>
      <c r="S44" s="6">
        <f t="shared" si="8"/>
        <v>4610.90932538996</v>
      </c>
      <c r="T44" s="6">
        <f>(N44/(1+'Autres hypothèses'!$D$5))*('Autres hypothèses'!$D$5/(((1+'Autres hypothèses'!$D$5)^Routes!P44-1)))</f>
        <v>2677.8623442777371</v>
      </c>
      <c r="U44" s="5">
        <v>1959</v>
      </c>
      <c r="V44" s="5">
        <f t="shared" si="0"/>
        <v>63</v>
      </c>
      <c r="W44" s="1">
        <f t="shared" si="1"/>
        <v>0.63</v>
      </c>
      <c r="X44" s="3">
        <f t="shared" si="2"/>
        <v>126</v>
      </c>
      <c r="Y44" s="3">
        <f t="shared" si="3"/>
        <v>74</v>
      </c>
    </row>
    <row r="45" spans="1:25" x14ac:dyDescent="0.25">
      <c r="A45" s="20" t="s">
        <v>515</v>
      </c>
      <c r="B45" s="5" t="s">
        <v>1578</v>
      </c>
      <c r="C45" s="5" t="s">
        <v>1579</v>
      </c>
      <c r="D45" s="5"/>
      <c r="E45" s="5"/>
      <c r="F45" s="5"/>
      <c r="G45" s="5">
        <v>1180.0661830700001</v>
      </c>
      <c r="H45" s="5">
        <v>104.329301358243</v>
      </c>
      <c r="I45" s="19">
        <f>VLOOKUP("Couche de base",'Taux unitaires'!$B$9:$C$11,2,FALSE)</f>
        <v>200</v>
      </c>
      <c r="J45" s="19">
        <f>VLOOKUP("Revêtement de route",'Taux unitaires'!$B$9:$C$11,2,FALSE)</f>
        <v>101</v>
      </c>
      <c r="K45" s="19">
        <f t="shared" si="4"/>
        <v>236013.23661400002</v>
      </c>
      <c r="L45" s="19">
        <f t="shared" si="5"/>
        <v>119186.68449007001</v>
      </c>
      <c r="M45" s="19">
        <f t="shared" si="6"/>
        <v>238373.36898014002</v>
      </c>
      <c r="N45" s="19">
        <f t="shared" si="7"/>
        <v>474386.60559414001</v>
      </c>
      <c r="O45" s="5">
        <f>VLOOKUP(C45,'Durée de vie utile'!$B$15:$E$18,4,FALSE)</f>
        <v>125</v>
      </c>
      <c r="P45" s="5">
        <f>VLOOKUP(C45,'Durée de vie utile'!$B$15:$E$18,3,FALSE)</f>
        <v>100</v>
      </c>
      <c r="Q45" s="5">
        <f>VLOOKUP(C45,'Durée de vie utile'!$B$26:$E$29,4,FALSE)</f>
        <v>50</v>
      </c>
      <c r="R45" s="5">
        <f>VLOOKUP(C45,'Durée de vie utile'!$B$26:$E$29,3,FALSE)</f>
        <v>30</v>
      </c>
      <c r="S45" s="6">
        <f t="shared" si="8"/>
        <v>4743.8660559414002</v>
      </c>
      <c r="T45" s="6">
        <f>(N45/(1+'Autres hypothèses'!$D$5))*('Autres hypothèses'!$D$5/(((1+'Autres hypothèses'!$D$5)^Routes!P45-1)))</f>
        <v>2755.0791787536286</v>
      </c>
      <c r="U45" s="5">
        <v>1963</v>
      </c>
      <c r="V45" s="5">
        <f t="shared" si="0"/>
        <v>59</v>
      </c>
      <c r="W45" s="1">
        <f t="shared" si="1"/>
        <v>0.59</v>
      </c>
      <c r="X45" s="3">
        <f t="shared" si="2"/>
        <v>118</v>
      </c>
      <c r="Y45" s="3">
        <f t="shared" si="3"/>
        <v>82</v>
      </c>
    </row>
    <row r="46" spans="1:25" x14ac:dyDescent="0.25">
      <c r="A46" s="20" t="s">
        <v>516</v>
      </c>
      <c r="B46" s="5" t="s">
        <v>1580</v>
      </c>
      <c r="C46" s="5" t="s">
        <v>1581</v>
      </c>
      <c r="D46" s="5"/>
      <c r="E46" s="5"/>
      <c r="F46" s="5"/>
      <c r="G46" s="5">
        <v>1345.3411955700001</v>
      </c>
      <c r="H46" s="5">
        <v>138.76475226450299</v>
      </c>
      <c r="I46" s="19">
        <f>VLOOKUP("Couche de base",'Taux unitaires'!$B$9:$C$11,2,FALSE)</f>
        <v>200</v>
      </c>
      <c r="J46" s="19">
        <f>VLOOKUP("Revêtement de route",'Taux unitaires'!$B$9:$C$11,2,FALSE)</f>
        <v>101</v>
      </c>
      <c r="K46" s="19">
        <f t="shared" si="4"/>
        <v>269068.239114</v>
      </c>
      <c r="L46" s="19">
        <f t="shared" si="5"/>
        <v>135879.46075257001</v>
      </c>
      <c r="M46" s="19">
        <f t="shared" si="6"/>
        <v>271758.92150514002</v>
      </c>
      <c r="N46" s="19">
        <f t="shared" si="7"/>
        <v>540827.16061914002</v>
      </c>
      <c r="O46" s="5">
        <f>VLOOKUP(C46,'Durée de vie utile'!$B$15:$E$18,4,FALSE)</f>
        <v>125</v>
      </c>
      <c r="P46" s="5">
        <f>VLOOKUP(C46,'Durée de vie utile'!$B$15:$E$18,3,FALSE)</f>
        <v>100</v>
      </c>
      <c r="Q46" s="5">
        <f>VLOOKUP(C46,'Durée de vie utile'!$B$26:$E$29,4,FALSE)</f>
        <v>50</v>
      </c>
      <c r="R46" s="5">
        <f>VLOOKUP(C46,'Durée de vie utile'!$B$26:$E$29,3,FALSE)</f>
        <v>30</v>
      </c>
      <c r="S46" s="6">
        <f t="shared" si="8"/>
        <v>5408.2716061913998</v>
      </c>
      <c r="T46" s="6">
        <f>(N46/(1+'Autres hypothèses'!$D$5))*('Autres hypothèses'!$D$5/(((1+'Autres hypothèses'!$D$5)^Routes!P46-1)))</f>
        <v>3140.9437618081074</v>
      </c>
      <c r="U46" s="5">
        <v>1963</v>
      </c>
      <c r="V46" s="5">
        <f t="shared" si="0"/>
        <v>59</v>
      </c>
      <c r="W46" s="1">
        <f t="shared" si="1"/>
        <v>0.59</v>
      </c>
      <c r="X46" s="3">
        <f t="shared" si="2"/>
        <v>118</v>
      </c>
      <c r="Y46" s="3">
        <f t="shared" si="3"/>
        <v>82</v>
      </c>
    </row>
    <row r="47" spans="1:25" x14ac:dyDescent="0.25">
      <c r="A47" s="20" t="s">
        <v>517</v>
      </c>
      <c r="B47" s="5" t="s">
        <v>1582</v>
      </c>
      <c r="C47" s="5" t="s">
        <v>1583</v>
      </c>
      <c r="D47" s="5"/>
      <c r="E47" s="5"/>
      <c r="F47" s="5"/>
      <c r="G47" s="5">
        <v>2593.65425451999</v>
      </c>
      <c r="H47" s="5">
        <v>419.07319976089099</v>
      </c>
      <c r="I47" s="19">
        <f>VLOOKUP("Couche de base",'Taux unitaires'!$B$9:$C$11,2,FALSE)</f>
        <v>200</v>
      </c>
      <c r="J47" s="19">
        <f>VLOOKUP("Revêtement de route",'Taux unitaires'!$B$9:$C$11,2,FALSE)</f>
        <v>101</v>
      </c>
      <c r="K47" s="19">
        <f t="shared" si="4"/>
        <v>518730.85090399801</v>
      </c>
      <c r="L47" s="19">
        <f t="shared" si="5"/>
        <v>261959.079706519</v>
      </c>
      <c r="M47" s="19">
        <f t="shared" si="6"/>
        <v>523918.159413038</v>
      </c>
      <c r="N47" s="19">
        <f t="shared" si="7"/>
        <v>1042649.010317036</v>
      </c>
      <c r="O47" s="5">
        <f>VLOOKUP(C47,'Durée de vie utile'!$B$15:$E$18,4,FALSE)</f>
        <v>100</v>
      </c>
      <c r="P47" s="5">
        <f>VLOOKUP(C47,'Durée de vie utile'!$B$15:$E$18,3,FALSE)</f>
        <v>80</v>
      </c>
      <c r="Q47" s="5">
        <f>VLOOKUP(C47,'Durée de vie utile'!$B$26:$E$29,4,FALSE)</f>
        <v>40</v>
      </c>
      <c r="R47" s="5">
        <f>VLOOKUP(C47,'Durée de vie utile'!$B$26:$E$29,3,FALSE)</f>
        <v>25</v>
      </c>
      <c r="S47" s="6">
        <f t="shared" si="8"/>
        <v>13033.11262896295</v>
      </c>
      <c r="T47" s="6">
        <f>(N47/(1+'Autres hypothèses'!$D$5))*('Autres hypothèses'!$D$5/(((1+'Autres hypothèses'!$D$5)^Routes!P47-1)))</f>
        <v>8484.5306296873987</v>
      </c>
      <c r="U47" s="5">
        <v>1963</v>
      </c>
      <c r="V47" s="5">
        <f t="shared" si="0"/>
        <v>59</v>
      </c>
      <c r="W47" s="1">
        <f t="shared" si="1"/>
        <v>0.73750000000000004</v>
      </c>
      <c r="X47" s="3">
        <f t="shared" si="2"/>
        <v>147.5</v>
      </c>
      <c r="Y47" s="3">
        <f t="shared" si="3"/>
        <v>52.5</v>
      </c>
    </row>
    <row r="48" spans="1:25" x14ac:dyDescent="0.25">
      <c r="A48" s="20" t="s">
        <v>518</v>
      </c>
      <c r="B48" s="5" t="s">
        <v>1584</v>
      </c>
      <c r="C48" s="5" t="s">
        <v>1585</v>
      </c>
      <c r="D48" s="5"/>
      <c r="E48" s="5"/>
      <c r="F48" s="5"/>
      <c r="G48" s="5">
        <v>1239.3626186500001</v>
      </c>
      <c r="H48" s="5">
        <v>134.606271211326</v>
      </c>
      <c r="I48" s="19">
        <f>VLOOKUP("Couche de base",'Taux unitaires'!$B$9:$C$11,2,FALSE)</f>
        <v>200</v>
      </c>
      <c r="J48" s="19">
        <f>VLOOKUP("Revêtement de route",'Taux unitaires'!$B$9:$C$11,2,FALSE)</f>
        <v>101</v>
      </c>
      <c r="K48" s="19">
        <f t="shared" si="4"/>
        <v>247872.52373000002</v>
      </c>
      <c r="L48" s="19">
        <f t="shared" si="5"/>
        <v>125175.62448365001</v>
      </c>
      <c r="M48" s="19">
        <f t="shared" si="6"/>
        <v>250351.24896730002</v>
      </c>
      <c r="N48" s="19">
        <f t="shared" si="7"/>
        <v>498223.77269730007</v>
      </c>
      <c r="O48" s="5">
        <f>VLOOKUP(C48,'Durée de vie utile'!$B$15:$E$18,4,FALSE)</f>
        <v>125</v>
      </c>
      <c r="P48" s="5">
        <f>VLOOKUP(C48,'Durée de vie utile'!$B$15:$E$18,3,FALSE)</f>
        <v>100</v>
      </c>
      <c r="Q48" s="5">
        <f>VLOOKUP(C48,'Durée de vie utile'!$B$26:$E$29,4,FALSE)</f>
        <v>50</v>
      </c>
      <c r="R48" s="5">
        <f>VLOOKUP(C48,'Durée de vie utile'!$B$26:$E$29,3,FALSE)</f>
        <v>30</v>
      </c>
      <c r="S48" s="6">
        <f t="shared" si="8"/>
        <v>4982.2377269730005</v>
      </c>
      <c r="T48" s="6">
        <f>(N48/(1+'Autres hypothèses'!$D$5))*('Autres hypothèses'!$D$5/(((1+'Autres hypothèses'!$D$5)^Routes!P48-1)))</f>
        <v>2893.517494658724</v>
      </c>
      <c r="U48" s="5">
        <v>1964</v>
      </c>
      <c r="V48" s="5">
        <f t="shared" si="0"/>
        <v>58</v>
      </c>
      <c r="W48" s="1">
        <f t="shared" si="1"/>
        <v>0.57999999999999996</v>
      </c>
      <c r="X48" s="3">
        <f t="shared" si="2"/>
        <v>115.99999999999999</v>
      </c>
      <c r="Y48" s="3">
        <f t="shared" si="3"/>
        <v>84.000000000000014</v>
      </c>
    </row>
    <row r="49" spans="1:25" x14ac:dyDescent="0.25">
      <c r="A49" s="20" t="s">
        <v>519</v>
      </c>
      <c r="B49" s="5" t="s">
        <v>1586</v>
      </c>
      <c r="C49" s="5" t="s">
        <v>1587</v>
      </c>
      <c r="D49" s="5"/>
      <c r="E49" s="5"/>
      <c r="F49" s="5"/>
      <c r="G49" s="5">
        <v>828.2</v>
      </c>
      <c r="H49" s="5">
        <v>63.2</v>
      </c>
      <c r="I49" s="19">
        <f>VLOOKUP("Couche de base",'Taux unitaires'!$B$9:$C$11,2,FALSE)</f>
        <v>200</v>
      </c>
      <c r="J49" s="19">
        <f>VLOOKUP("Revêtement de route",'Taux unitaires'!$B$9:$C$11,2,FALSE)</f>
        <v>101</v>
      </c>
      <c r="K49" s="19">
        <f t="shared" si="4"/>
        <v>165640</v>
      </c>
      <c r="L49" s="19">
        <f t="shared" si="5"/>
        <v>83648.200000000012</v>
      </c>
      <c r="M49" s="19">
        <f t="shared" si="6"/>
        <v>167296.40000000002</v>
      </c>
      <c r="N49" s="19">
        <f t="shared" si="7"/>
        <v>332936.40000000002</v>
      </c>
      <c r="O49" s="5">
        <f>VLOOKUP(C49,'Durée de vie utile'!$B$15:$E$18,4,FALSE)</f>
        <v>125</v>
      </c>
      <c r="P49" s="5">
        <f>VLOOKUP(C49,'Durée de vie utile'!$B$15:$E$18,3,FALSE)</f>
        <v>100</v>
      </c>
      <c r="Q49" s="5">
        <f>VLOOKUP(C49,'Durée de vie utile'!$B$26:$E$29,4,FALSE)</f>
        <v>50</v>
      </c>
      <c r="R49" s="5">
        <f>VLOOKUP(C49,'Durée de vie utile'!$B$26:$E$29,3,FALSE)</f>
        <v>30</v>
      </c>
      <c r="S49" s="6">
        <f t="shared" si="8"/>
        <v>3329.364</v>
      </c>
      <c r="T49" s="6">
        <f>(N49/(1+'Autres hypothèses'!$D$5))*('Autres hypothèses'!$D$5/(((1+'Autres hypothèses'!$D$5)^Routes!P49-1)))</f>
        <v>1933.5835638537271</v>
      </c>
      <c r="U49" s="5">
        <v>1964</v>
      </c>
      <c r="V49" s="5">
        <f t="shared" si="0"/>
        <v>58</v>
      </c>
      <c r="W49" s="1">
        <f t="shared" si="1"/>
        <v>0.57999999999999996</v>
      </c>
      <c r="X49" s="3">
        <f t="shared" si="2"/>
        <v>115.99999999999999</v>
      </c>
      <c r="Y49" s="3">
        <f t="shared" si="3"/>
        <v>84.000000000000014</v>
      </c>
    </row>
    <row r="50" spans="1:25" x14ac:dyDescent="0.25">
      <c r="A50" s="20" t="s">
        <v>520</v>
      </c>
      <c r="B50" s="5" t="s">
        <v>1588</v>
      </c>
      <c r="C50" s="5" t="s">
        <v>1589</v>
      </c>
      <c r="D50" s="5"/>
      <c r="E50" s="5"/>
      <c r="F50" s="5"/>
      <c r="G50" s="5">
        <v>785.52388558999905</v>
      </c>
      <c r="H50" s="5">
        <v>74.037883452158297</v>
      </c>
      <c r="I50" s="19">
        <f>VLOOKUP("Couche de base",'Taux unitaires'!$B$9:$C$11,2,FALSE)</f>
        <v>200</v>
      </c>
      <c r="J50" s="19">
        <f>VLOOKUP("Revêtement de route",'Taux unitaires'!$B$9:$C$11,2,FALSE)</f>
        <v>101</v>
      </c>
      <c r="K50" s="19">
        <f t="shared" si="4"/>
        <v>157104.77711799982</v>
      </c>
      <c r="L50" s="19">
        <f t="shared" si="5"/>
        <v>79337.912444589907</v>
      </c>
      <c r="M50" s="19">
        <f t="shared" si="6"/>
        <v>158675.82488917981</v>
      </c>
      <c r="N50" s="19">
        <f t="shared" si="7"/>
        <v>315780.60200717964</v>
      </c>
      <c r="O50" s="5">
        <f>VLOOKUP(C50,'Durée de vie utile'!$B$15:$E$18,4,FALSE)</f>
        <v>125</v>
      </c>
      <c r="P50" s="5">
        <f>VLOOKUP(C50,'Durée de vie utile'!$B$15:$E$18,3,FALSE)</f>
        <v>100</v>
      </c>
      <c r="Q50" s="5">
        <f>VLOOKUP(C50,'Durée de vie utile'!$B$26:$E$29,4,FALSE)</f>
        <v>50</v>
      </c>
      <c r="R50" s="5">
        <f>VLOOKUP(C50,'Durée de vie utile'!$B$26:$E$29,3,FALSE)</f>
        <v>30</v>
      </c>
      <c r="S50" s="6">
        <f t="shared" si="8"/>
        <v>3157.8060200717964</v>
      </c>
      <c r="T50" s="6">
        <f>(N50/(1+'Autres hypothèses'!$D$5))*('Autres hypothèses'!$D$5/(((1+'Autres hypothèses'!$D$5)^Routes!P50-1)))</f>
        <v>1833.9484112428615</v>
      </c>
      <c r="U50" s="5">
        <v>1965</v>
      </c>
      <c r="V50" s="5">
        <f t="shared" si="0"/>
        <v>57</v>
      </c>
      <c r="W50" s="1">
        <f t="shared" si="1"/>
        <v>0.56999999999999995</v>
      </c>
      <c r="X50" s="3">
        <f t="shared" si="2"/>
        <v>113.99999999999999</v>
      </c>
      <c r="Y50" s="3">
        <f t="shared" si="3"/>
        <v>86.000000000000014</v>
      </c>
    </row>
    <row r="51" spans="1:25" x14ac:dyDescent="0.25">
      <c r="A51" s="20" t="s">
        <v>521</v>
      </c>
      <c r="B51" s="5" t="s">
        <v>1590</v>
      </c>
      <c r="C51" s="5" t="s">
        <v>1591</v>
      </c>
      <c r="D51" s="5"/>
      <c r="E51" s="5"/>
      <c r="F51" s="5"/>
      <c r="G51" s="5">
        <v>1099.5999999999999</v>
      </c>
      <c r="H51" s="5">
        <v>72.3</v>
      </c>
      <c r="I51" s="19">
        <f>VLOOKUP("Couche de base",'Taux unitaires'!$B$9:$C$11,2,FALSE)</f>
        <v>200</v>
      </c>
      <c r="J51" s="19">
        <f>VLOOKUP("Revêtement de route",'Taux unitaires'!$B$9:$C$11,2,FALSE)</f>
        <v>101</v>
      </c>
      <c r="K51" s="19">
        <f t="shared" si="4"/>
        <v>219919.99999999997</v>
      </c>
      <c r="L51" s="19">
        <f t="shared" si="5"/>
        <v>111059.59999999999</v>
      </c>
      <c r="M51" s="19">
        <f t="shared" si="6"/>
        <v>222119.19999999998</v>
      </c>
      <c r="N51" s="19">
        <f t="shared" si="7"/>
        <v>442039.19999999995</v>
      </c>
      <c r="O51" s="5">
        <f>VLOOKUP(C51,'Durée de vie utile'!$B$15:$E$18,4,FALSE)</f>
        <v>125</v>
      </c>
      <c r="P51" s="5">
        <f>VLOOKUP(C51,'Durée de vie utile'!$B$15:$E$18,3,FALSE)</f>
        <v>100</v>
      </c>
      <c r="Q51" s="5">
        <f>VLOOKUP(C51,'Durée de vie utile'!$B$26:$E$29,4,FALSE)</f>
        <v>50</v>
      </c>
      <c r="R51" s="5">
        <f>VLOOKUP(C51,'Durée de vie utile'!$B$26:$E$29,3,FALSE)</f>
        <v>30</v>
      </c>
      <c r="S51" s="6">
        <f t="shared" si="8"/>
        <v>4420.3919999999998</v>
      </c>
      <c r="T51" s="6">
        <f>(N51/(1+'Autres hypothèses'!$D$5))*('Autres hypothèses'!$D$5/(((1+'Autres hypothèses'!$D$5)^Routes!P51-1)))</f>
        <v>2567.2162361912074</v>
      </c>
      <c r="U51" s="5">
        <v>1965</v>
      </c>
      <c r="V51" s="5">
        <f t="shared" si="0"/>
        <v>57</v>
      </c>
      <c r="W51" s="1">
        <f t="shared" si="1"/>
        <v>0.56999999999999995</v>
      </c>
      <c r="X51" s="3">
        <f t="shared" si="2"/>
        <v>113.99999999999999</v>
      </c>
      <c r="Y51" s="3">
        <f t="shared" si="3"/>
        <v>86.000000000000014</v>
      </c>
    </row>
    <row r="52" spans="1:25" x14ac:dyDescent="0.25">
      <c r="A52" s="20" t="s">
        <v>522</v>
      </c>
      <c r="B52" s="5" t="s">
        <v>1592</v>
      </c>
      <c r="C52" s="5" t="s">
        <v>1593</v>
      </c>
      <c r="D52" s="5"/>
      <c r="E52" s="5"/>
      <c r="F52" s="5"/>
      <c r="G52" s="5">
        <v>1870.05782202</v>
      </c>
      <c r="H52" s="5">
        <v>210.06128970019299</v>
      </c>
      <c r="I52" s="19">
        <f>VLOOKUP("Couche de base",'Taux unitaires'!$B$9:$C$11,2,FALSE)</f>
        <v>200</v>
      </c>
      <c r="J52" s="19">
        <f>VLOOKUP("Revêtement de route",'Taux unitaires'!$B$9:$C$11,2,FALSE)</f>
        <v>101</v>
      </c>
      <c r="K52" s="19">
        <f t="shared" si="4"/>
        <v>374011.564404</v>
      </c>
      <c r="L52" s="19">
        <f t="shared" si="5"/>
        <v>188875.84002402</v>
      </c>
      <c r="M52" s="19">
        <f t="shared" si="6"/>
        <v>377751.68004804</v>
      </c>
      <c r="N52" s="19">
        <f t="shared" si="7"/>
        <v>751763.24445203994</v>
      </c>
      <c r="O52" s="5">
        <f>VLOOKUP(C52,'Durée de vie utile'!$B$15:$E$18,4,FALSE)</f>
        <v>125</v>
      </c>
      <c r="P52" s="5">
        <f>VLOOKUP(C52,'Durée de vie utile'!$B$15:$E$18,3,FALSE)</f>
        <v>100</v>
      </c>
      <c r="Q52" s="5">
        <f>VLOOKUP(C52,'Durée de vie utile'!$B$26:$E$29,4,FALSE)</f>
        <v>50</v>
      </c>
      <c r="R52" s="5">
        <f>VLOOKUP(C52,'Durée de vie utile'!$B$26:$E$29,3,FALSE)</f>
        <v>30</v>
      </c>
      <c r="S52" s="6">
        <f t="shared" si="8"/>
        <v>7517.6324445203991</v>
      </c>
      <c r="T52" s="6">
        <f>(N52/(1+'Autres hypothèses'!$D$5))*('Autres hypothèses'!$D$5/(((1+'Autres hypothèses'!$D$5)^Routes!P52-1)))</f>
        <v>4365.9901812532844</v>
      </c>
      <c r="U52" s="5">
        <v>1965</v>
      </c>
      <c r="V52" s="5">
        <f t="shared" si="0"/>
        <v>57</v>
      </c>
      <c r="W52" s="1">
        <f t="shared" si="1"/>
        <v>0.56999999999999995</v>
      </c>
      <c r="X52" s="3">
        <f t="shared" si="2"/>
        <v>113.99999999999999</v>
      </c>
      <c r="Y52" s="3">
        <f t="shared" si="3"/>
        <v>86.000000000000014</v>
      </c>
    </row>
    <row r="53" spans="1:25" x14ac:dyDescent="0.25">
      <c r="A53" s="20" t="s">
        <v>523</v>
      </c>
      <c r="B53" s="5" t="s">
        <v>1594</v>
      </c>
      <c r="C53" s="5" t="s">
        <v>1595</v>
      </c>
      <c r="D53" s="5"/>
      <c r="E53" s="5"/>
      <c r="F53" s="5"/>
      <c r="G53" s="5">
        <v>2452.0711642299898</v>
      </c>
      <c r="H53" s="5">
        <v>194.74076081428899</v>
      </c>
      <c r="I53" s="19">
        <f>VLOOKUP("Couche de base",'Taux unitaires'!$B$9:$C$11,2,FALSE)</f>
        <v>200</v>
      </c>
      <c r="J53" s="19">
        <f>VLOOKUP("Revêtement de route",'Taux unitaires'!$B$9:$C$11,2,FALSE)</f>
        <v>101</v>
      </c>
      <c r="K53" s="19">
        <f t="shared" si="4"/>
        <v>490414.23284599796</v>
      </c>
      <c r="L53" s="19">
        <f t="shared" si="5"/>
        <v>247659.18758722898</v>
      </c>
      <c r="M53" s="19">
        <f t="shared" si="6"/>
        <v>495318.37517445796</v>
      </c>
      <c r="N53" s="19">
        <f t="shared" si="7"/>
        <v>985732.60802045593</v>
      </c>
      <c r="O53" s="5">
        <f>VLOOKUP(C53,'Durée de vie utile'!$B$15:$E$18,4,FALSE)</f>
        <v>125</v>
      </c>
      <c r="P53" s="5">
        <f>VLOOKUP(C53,'Durée de vie utile'!$B$15:$E$18,3,FALSE)</f>
        <v>100</v>
      </c>
      <c r="Q53" s="5">
        <f>VLOOKUP(C53,'Durée de vie utile'!$B$26:$E$29,4,FALSE)</f>
        <v>50</v>
      </c>
      <c r="R53" s="5">
        <f>VLOOKUP(C53,'Durée de vie utile'!$B$26:$E$29,3,FALSE)</f>
        <v>30</v>
      </c>
      <c r="S53" s="6">
        <f t="shared" si="8"/>
        <v>9857.3260802045588</v>
      </c>
      <c r="T53" s="6">
        <f>(N53/(1+'Autres hypothèses'!$D$5))*('Autres hypothèses'!$D$5/(((1+'Autres hypothèses'!$D$5)^Routes!P53-1)))</f>
        <v>5724.8062069002435</v>
      </c>
      <c r="U53" s="5">
        <v>1965</v>
      </c>
      <c r="V53" s="5">
        <f t="shared" si="0"/>
        <v>57</v>
      </c>
      <c r="W53" s="1">
        <f t="shared" si="1"/>
        <v>0.56999999999999995</v>
      </c>
      <c r="X53" s="3">
        <f t="shared" si="2"/>
        <v>113.99999999999999</v>
      </c>
      <c r="Y53" s="3">
        <f t="shared" si="3"/>
        <v>86.000000000000014</v>
      </c>
    </row>
    <row r="54" spans="1:25" x14ac:dyDescent="0.25">
      <c r="A54" s="20" t="s">
        <v>524</v>
      </c>
      <c r="B54" s="5" t="s">
        <v>1596</v>
      </c>
      <c r="C54" s="5" t="s">
        <v>1597</v>
      </c>
      <c r="D54" s="5"/>
      <c r="E54" s="5"/>
      <c r="F54" s="5"/>
      <c r="G54" s="5">
        <v>1420</v>
      </c>
      <c r="H54" s="5">
        <v>104.4</v>
      </c>
      <c r="I54" s="19">
        <f>VLOOKUP("Couche de base",'Taux unitaires'!$B$9:$C$11,2,FALSE)</f>
        <v>200</v>
      </c>
      <c r="J54" s="19">
        <f>VLOOKUP("Revêtement de route",'Taux unitaires'!$B$9:$C$11,2,FALSE)</f>
        <v>101</v>
      </c>
      <c r="K54" s="19">
        <f t="shared" si="4"/>
        <v>284000</v>
      </c>
      <c r="L54" s="19">
        <f t="shared" si="5"/>
        <v>143420</v>
      </c>
      <c r="M54" s="19">
        <f t="shared" si="6"/>
        <v>286840</v>
      </c>
      <c r="N54" s="19">
        <f t="shared" si="7"/>
        <v>570840</v>
      </c>
      <c r="O54" s="5">
        <f>VLOOKUP(C54,'Durée de vie utile'!$B$15:$E$18,4,FALSE)</f>
        <v>125</v>
      </c>
      <c r="P54" s="5">
        <f>VLOOKUP(C54,'Durée de vie utile'!$B$15:$E$18,3,FALSE)</f>
        <v>100</v>
      </c>
      <c r="Q54" s="5">
        <f>VLOOKUP(C54,'Durée de vie utile'!$B$26:$E$29,4,FALSE)</f>
        <v>50</v>
      </c>
      <c r="R54" s="5">
        <f>VLOOKUP(C54,'Durée de vie utile'!$B$26:$E$29,3,FALSE)</f>
        <v>30</v>
      </c>
      <c r="S54" s="6">
        <f t="shared" si="8"/>
        <v>5708.4</v>
      </c>
      <c r="T54" s="6">
        <f>(N54/(1+'Autres hypothèses'!$D$5))*('Autres hypothèses'!$D$5/(((1+'Autres hypothèses'!$D$5)^Routes!P54-1)))</f>
        <v>3315.2483224731859</v>
      </c>
      <c r="U54" s="5">
        <v>1965</v>
      </c>
      <c r="V54" s="5">
        <f t="shared" si="0"/>
        <v>57</v>
      </c>
      <c r="W54" s="1">
        <f t="shared" si="1"/>
        <v>0.56999999999999995</v>
      </c>
      <c r="X54" s="3">
        <f t="shared" si="2"/>
        <v>113.99999999999999</v>
      </c>
      <c r="Y54" s="3">
        <f t="shared" si="3"/>
        <v>86.000000000000014</v>
      </c>
    </row>
    <row r="55" spans="1:25" x14ac:dyDescent="0.25">
      <c r="A55" s="20" t="s">
        <v>525</v>
      </c>
      <c r="B55" s="5" t="s">
        <v>1598</v>
      </c>
      <c r="C55" s="5" t="s">
        <v>1599</v>
      </c>
      <c r="D55" s="5"/>
      <c r="E55" s="5"/>
      <c r="F55" s="5"/>
      <c r="G55" s="5">
        <v>493.66854874000001</v>
      </c>
      <c r="H55" s="5">
        <v>101.202052502703</v>
      </c>
      <c r="I55" s="19">
        <f>VLOOKUP("Couche de base",'Taux unitaires'!$B$9:$C$11,2,FALSE)</f>
        <v>200</v>
      </c>
      <c r="J55" s="19">
        <f>VLOOKUP("Revêtement de route",'Taux unitaires'!$B$9:$C$11,2,FALSE)</f>
        <v>101</v>
      </c>
      <c r="K55" s="19">
        <f t="shared" si="4"/>
        <v>98733.709747999994</v>
      </c>
      <c r="L55" s="19">
        <f t="shared" si="5"/>
        <v>49860.52342274</v>
      </c>
      <c r="M55" s="19">
        <f t="shared" si="6"/>
        <v>99721.046845479999</v>
      </c>
      <c r="N55" s="19">
        <f t="shared" si="7"/>
        <v>198454.75659348001</v>
      </c>
      <c r="O55" s="5">
        <f>VLOOKUP(C55,'Durée de vie utile'!$B$15:$E$18,4,FALSE)</f>
        <v>125</v>
      </c>
      <c r="P55" s="5">
        <f>VLOOKUP(C55,'Durée de vie utile'!$B$15:$E$18,3,FALSE)</f>
        <v>100</v>
      </c>
      <c r="Q55" s="5">
        <f>VLOOKUP(C55,'Durée de vie utile'!$B$26:$E$29,4,FALSE)</f>
        <v>50</v>
      </c>
      <c r="R55" s="5">
        <f>VLOOKUP(C55,'Durée de vie utile'!$B$26:$E$29,3,FALSE)</f>
        <v>30</v>
      </c>
      <c r="S55" s="6">
        <f t="shared" si="8"/>
        <v>1984.5475659348001</v>
      </c>
      <c r="T55" s="6">
        <f>(N55/(1+'Autres hypothèses'!$D$5))*('Autres hypothèses'!$D$5/(((1+'Autres hypothèses'!$D$5)^Routes!P55-1)))</f>
        <v>1152.5590338507445</v>
      </c>
      <c r="U55" s="5">
        <v>1965</v>
      </c>
      <c r="V55" s="5">
        <f t="shared" si="0"/>
        <v>57</v>
      </c>
      <c r="W55" s="1">
        <f t="shared" si="1"/>
        <v>0.56999999999999995</v>
      </c>
      <c r="X55" s="3">
        <f t="shared" si="2"/>
        <v>113.99999999999999</v>
      </c>
      <c r="Y55" s="3">
        <f t="shared" si="3"/>
        <v>86.000000000000014</v>
      </c>
    </row>
    <row r="56" spans="1:25" x14ac:dyDescent="0.25">
      <c r="A56" s="20" t="s">
        <v>526</v>
      </c>
      <c r="B56" s="5" t="s">
        <v>1600</v>
      </c>
      <c r="C56" s="5" t="s">
        <v>1601</v>
      </c>
      <c r="D56" s="5"/>
      <c r="E56" s="5"/>
      <c r="F56" s="5"/>
      <c r="G56" s="5">
        <v>588.1</v>
      </c>
      <c r="H56" s="5">
        <v>65.3</v>
      </c>
      <c r="I56" s="19">
        <f>VLOOKUP("Couche de base",'Taux unitaires'!$B$9:$C$11,2,FALSE)</f>
        <v>200</v>
      </c>
      <c r="J56" s="19">
        <f>VLOOKUP("Revêtement de route",'Taux unitaires'!$B$9:$C$11,2,FALSE)</f>
        <v>101</v>
      </c>
      <c r="K56" s="19">
        <f t="shared" si="4"/>
        <v>117620</v>
      </c>
      <c r="L56" s="19">
        <f t="shared" si="5"/>
        <v>59398.100000000006</v>
      </c>
      <c r="M56" s="19">
        <f t="shared" si="6"/>
        <v>118796.20000000001</v>
      </c>
      <c r="N56" s="19">
        <f t="shared" si="7"/>
        <v>236416.2</v>
      </c>
      <c r="O56" s="5">
        <f>VLOOKUP(C56,'Durée de vie utile'!$B$15:$E$18,4,FALSE)</f>
        <v>125</v>
      </c>
      <c r="P56" s="5">
        <f>VLOOKUP(C56,'Durée de vie utile'!$B$15:$E$18,3,FALSE)</f>
        <v>100</v>
      </c>
      <c r="Q56" s="5">
        <f>VLOOKUP(C56,'Durée de vie utile'!$B$26:$E$29,4,FALSE)</f>
        <v>50</v>
      </c>
      <c r="R56" s="5">
        <f>VLOOKUP(C56,'Durée de vie utile'!$B$26:$E$29,3,FALSE)</f>
        <v>30</v>
      </c>
      <c r="S56" s="6">
        <f t="shared" si="8"/>
        <v>2364.1620000000003</v>
      </c>
      <c r="T56" s="6">
        <f>(N56/(1+'Autres hypothèses'!$D$5))*('Autres hypothèses'!$D$5/(((1+'Autres hypothèses'!$D$5)^Routes!P56-1)))</f>
        <v>1373.0264355256907</v>
      </c>
      <c r="U56" s="5">
        <v>1965</v>
      </c>
      <c r="V56" s="5">
        <f t="shared" si="0"/>
        <v>57</v>
      </c>
      <c r="W56" s="1">
        <f t="shared" si="1"/>
        <v>0.56999999999999995</v>
      </c>
      <c r="X56" s="3">
        <f t="shared" si="2"/>
        <v>113.99999999999999</v>
      </c>
      <c r="Y56" s="3">
        <f t="shared" si="3"/>
        <v>86.000000000000014</v>
      </c>
    </row>
    <row r="57" spans="1:25" x14ac:dyDescent="0.25">
      <c r="A57" s="20" t="s">
        <v>527</v>
      </c>
      <c r="B57" s="5" t="s">
        <v>1602</v>
      </c>
      <c r="C57" s="5" t="s">
        <v>1603</v>
      </c>
      <c r="D57" s="5"/>
      <c r="E57" s="5"/>
      <c r="F57" s="5"/>
      <c r="G57" s="5">
        <v>917.77417618000004</v>
      </c>
      <c r="H57" s="5">
        <v>86.502853366922196</v>
      </c>
      <c r="I57" s="19">
        <f>VLOOKUP("Couche de base",'Taux unitaires'!$B$9:$C$11,2,FALSE)</f>
        <v>200</v>
      </c>
      <c r="J57" s="19">
        <f>VLOOKUP("Revêtement de route",'Taux unitaires'!$B$9:$C$11,2,FALSE)</f>
        <v>101</v>
      </c>
      <c r="K57" s="19">
        <f t="shared" si="4"/>
        <v>183554.83523600001</v>
      </c>
      <c r="L57" s="19">
        <f t="shared" si="5"/>
        <v>92695.191794180006</v>
      </c>
      <c r="M57" s="19">
        <f t="shared" si="6"/>
        <v>185390.38358836001</v>
      </c>
      <c r="N57" s="19">
        <f t="shared" si="7"/>
        <v>368945.21882436005</v>
      </c>
      <c r="O57" s="5">
        <f>VLOOKUP(C57,'Durée de vie utile'!$B$15:$E$18,4,FALSE)</f>
        <v>125</v>
      </c>
      <c r="P57" s="5">
        <f>VLOOKUP(C57,'Durée de vie utile'!$B$15:$E$18,3,FALSE)</f>
        <v>100</v>
      </c>
      <c r="Q57" s="5">
        <f>VLOOKUP(C57,'Durée de vie utile'!$B$26:$E$29,4,FALSE)</f>
        <v>50</v>
      </c>
      <c r="R57" s="5">
        <f>VLOOKUP(C57,'Durée de vie utile'!$B$26:$E$29,3,FALSE)</f>
        <v>30</v>
      </c>
      <c r="S57" s="6">
        <f t="shared" si="8"/>
        <v>3689.4521882436006</v>
      </c>
      <c r="T57" s="6">
        <f>(N57/(1+'Autres hypothèses'!$D$5))*('Autres hypothèses'!$D$5/(((1+'Autres hypothèses'!$D$5)^Routes!P57-1)))</f>
        <v>2142.710773232363</v>
      </c>
      <c r="U57" s="5">
        <v>1965</v>
      </c>
      <c r="V57" s="5">
        <f t="shared" si="0"/>
        <v>57</v>
      </c>
      <c r="W57" s="1">
        <f t="shared" si="1"/>
        <v>0.56999999999999995</v>
      </c>
      <c r="X57" s="3">
        <f t="shared" si="2"/>
        <v>113.99999999999999</v>
      </c>
      <c r="Y57" s="3">
        <f t="shared" si="3"/>
        <v>86.000000000000014</v>
      </c>
    </row>
    <row r="58" spans="1:25" x14ac:dyDescent="0.25">
      <c r="A58" s="20" t="s">
        <v>528</v>
      </c>
      <c r="B58" s="5" t="s">
        <v>1604</v>
      </c>
      <c r="C58" s="5" t="s">
        <v>1605</v>
      </c>
      <c r="D58" s="5"/>
      <c r="E58" s="5"/>
      <c r="F58" s="5"/>
      <c r="G58" s="5">
        <v>2743.3</v>
      </c>
      <c r="H58" s="5">
        <v>338.3</v>
      </c>
      <c r="I58" s="19">
        <f>VLOOKUP("Couche de base",'Taux unitaires'!$B$9:$C$11,2,FALSE)</f>
        <v>200</v>
      </c>
      <c r="J58" s="19">
        <f>VLOOKUP("Revêtement de route",'Taux unitaires'!$B$9:$C$11,2,FALSE)</f>
        <v>101</v>
      </c>
      <c r="K58" s="19">
        <f t="shared" si="4"/>
        <v>548660</v>
      </c>
      <c r="L58" s="19">
        <f t="shared" si="5"/>
        <v>277073.30000000005</v>
      </c>
      <c r="M58" s="19">
        <f t="shared" si="6"/>
        <v>554146.60000000009</v>
      </c>
      <c r="N58" s="19">
        <f t="shared" si="7"/>
        <v>1102806.6000000001</v>
      </c>
      <c r="O58" s="5">
        <f>VLOOKUP(C58,'Durée de vie utile'!$B$15:$E$18,4,FALSE)</f>
        <v>100</v>
      </c>
      <c r="P58" s="5">
        <f>VLOOKUP(C58,'Durée de vie utile'!$B$15:$E$18,3,FALSE)</f>
        <v>80</v>
      </c>
      <c r="Q58" s="5">
        <f>VLOOKUP(C58,'Durée de vie utile'!$B$26:$E$29,4,FALSE)</f>
        <v>40</v>
      </c>
      <c r="R58" s="5">
        <f>VLOOKUP(C58,'Durée de vie utile'!$B$26:$E$29,3,FALSE)</f>
        <v>25</v>
      </c>
      <c r="S58" s="6">
        <f t="shared" si="8"/>
        <v>13785.0825</v>
      </c>
      <c r="T58" s="6">
        <f>(N58/(1+'Autres hypothèses'!$D$5))*('Autres hypothèses'!$D$5/(((1+'Autres hypothèses'!$D$5)^Routes!P58-1)))</f>
        <v>8974.0615333978221</v>
      </c>
      <c r="U58" s="5">
        <v>1965</v>
      </c>
      <c r="V58" s="5">
        <f t="shared" si="0"/>
        <v>57</v>
      </c>
      <c r="W58" s="1">
        <f t="shared" si="1"/>
        <v>0.71250000000000002</v>
      </c>
      <c r="X58" s="3">
        <f t="shared" si="2"/>
        <v>142.5</v>
      </c>
      <c r="Y58" s="3">
        <f t="shared" si="3"/>
        <v>57.5</v>
      </c>
    </row>
    <row r="59" spans="1:25" x14ac:dyDescent="0.25">
      <c r="A59" s="20" t="s">
        <v>529</v>
      </c>
      <c r="B59" s="5" t="s">
        <v>1606</v>
      </c>
      <c r="C59" s="5" t="s">
        <v>1607</v>
      </c>
      <c r="D59" s="5"/>
      <c r="E59" s="5"/>
      <c r="F59" s="5"/>
      <c r="G59" s="5">
        <v>657.8</v>
      </c>
      <c r="H59" s="5">
        <v>82.3</v>
      </c>
      <c r="I59" s="19">
        <f>VLOOKUP("Couche de base",'Taux unitaires'!$B$9:$C$11,2,FALSE)</f>
        <v>200</v>
      </c>
      <c r="J59" s="19">
        <f>VLOOKUP("Revêtement de route",'Taux unitaires'!$B$9:$C$11,2,FALSE)</f>
        <v>101</v>
      </c>
      <c r="K59" s="19">
        <f t="shared" si="4"/>
        <v>131560</v>
      </c>
      <c r="L59" s="19">
        <f t="shared" si="5"/>
        <v>66437.799999999988</v>
      </c>
      <c r="M59" s="19">
        <f t="shared" si="6"/>
        <v>132875.59999999998</v>
      </c>
      <c r="N59" s="19">
        <f t="shared" si="7"/>
        <v>264435.59999999998</v>
      </c>
      <c r="O59" s="5">
        <f>VLOOKUP(C59,'Durée de vie utile'!$B$15:$E$18,4,FALSE)</f>
        <v>125</v>
      </c>
      <c r="P59" s="5">
        <f>VLOOKUP(C59,'Durée de vie utile'!$B$15:$E$18,3,FALSE)</f>
        <v>100</v>
      </c>
      <c r="Q59" s="5">
        <f>VLOOKUP(C59,'Durée de vie utile'!$B$26:$E$29,4,FALSE)</f>
        <v>50</v>
      </c>
      <c r="R59" s="5">
        <f>VLOOKUP(C59,'Durée de vie utile'!$B$26:$E$29,3,FALSE)</f>
        <v>30</v>
      </c>
      <c r="S59" s="6">
        <f t="shared" si="8"/>
        <v>2644.3559999999998</v>
      </c>
      <c r="T59" s="6">
        <f>(N59/(1+'Autres hypothèses'!$D$5))*('Autres hypothèses'!$D$5/(((1+'Autres hypothèses'!$D$5)^Routes!P59-1)))</f>
        <v>1535.7537651569448</v>
      </c>
      <c r="U59" s="5">
        <v>1965</v>
      </c>
      <c r="V59" s="5">
        <f t="shared" si="0"/>
        <v>57</v>
      </c>
      <c r="W59" s="1">
        <f t="shared" si="1"/>
        <v>0.56999999999999995</v>
      </c>
      <c r="X59" s="3">
        <f t="shared" si="2"/>
        <v>113.99999999999999</v>
      </c>
      <c r="Y59" s="3">
        <f t="shared" si="3"/>
        <v>86.000000000000014</v>
      </c>
    </row>
    <row r="60" spans="1:25" x14ac:dyDescent="0.25">
      <c r="A60" s="20" t="s">
        <v>530</v>
      </c>
      <c r="B60" s="5" t="s">
        <v>1608</v>
      </c>
      <c r="C60" s="5" t="s">
        <v>1609</v>
      </c>
      <c r="D60" s="5"/>
      <c r="E60" s="5"/>
      <c r="F60" s="5"/>
      <c r="G60" s="5">
        <v>1562</v>
      </c>
      <c r="H60" s="5">
        <v>114.9</v>
      </c>
      <c r="I60" s="19">
        <f>VLOOKUP("Couche de base",'Taux unitaires'!$B$9:$C$11,2,FALSE)</f>
        <v>200</v>
      </c>
      <c r="J60" s="19">
        <f>VLOOKUP("Revêtement de route",'Taux unitaires'!$B$9:$C$11,2,FALSE)</f>
        <v>101</v>
      </c>
      <c r="K60" s="19">
        <f t="shared" si="4"/>
        <v>312400</v>
      </c>
      <c r="L60" s="19">
        <f t="shared" si="5"/>
        <v>157762</v>
      </c>
      <c r="M60" s="19">
        <f t="shared" si="6"/>
        <v>315524</v>
      </c>
      <c r="N60" s="19">
        <f t="shared" si="7"/>
        <v>627924</v>
      </c>
      <c r="O60" s="5">
        <f>VLOOKUP(C60,'Durée de vie utile'!$B$15:$E$18,4,FALSE)</f>
        <v>125</v>
      </c>
      <c r="P60" s="5">
        <f>VLOOKUP(C60,'Durée de vie utile'!$B$15:$E$18,3,FALSE)</f>
        <v>100</v>
      </c>
      <c r="Q60" s="5">
        <f>VLOOKUP(C60,'Durée de vie utile'!$B$26:$E$29,4,FALSE)</f>
        <v>50</v>
      </c>
      <c r="R60" s="5">
        <f>VLOOKUP(C60,'Durée de vie utile'!$B$26:$E$29,3,FALSE)</f>
        <v>30</v>
      </c>
      <c r="S60" s="6">
        <f t="shared" si="8"/>
        <v>6279.24</v>
      </c>
      <c r="T60" s="6">
        <f>(N60/(1+'Autres hypothèses'!$D$5))*('Autres hypothèses'!$D$5/(((1+'Autres hypothèses'!$D$5)^Routes!P60-1)))</f>
        <v>3646.7731547205049</v>
      </c>
      <c r="U60" s="5">
        <v>1965</v>
      </c>
      <c r="V60" s="5">
        <f t="shared" si="0"/>
        <v>57</v>
      </c>
      <c r="W60" s="1">
        <f t="shared" si="1"/>
        <v>0.56999999999999995</v>
      </c>
      <c r="X60" s="3">
        <f t="shared" si="2"/>
        <v>113.99999999999999</v>
      </c>
      <c r="Y60" s="3">
        <f t="shared" si="3"/>
        <v>86.000000000000014</v>
      </c>
    </row>
    <row r="61" spans="1:25" x14ac:dyDescent="0.25">
      <c r="A61" s="20" t="s">
        <v>531</v>
      </c>
      <c r="B61" s="5" t="s">
        <v>1610</v>
      </c>
      <c r="C61" s="5" t="s">
        <v>1611</v>
      </c>
      <c r="D61" s="5"/>
      <c r="E61" s="5"/>
      <c r="F61" s="5"/>
      <c r="G61" s="5">
        <v>2219.3000000000002</v>
      </c>
      <c r="H61" s="5">
        <v>174.6</v>
      </c>
      <c r="I61" s="19">
        <f>VLOOKUP("Couche de base",'Taux unitaires'!$B$9:$C$11,2,FALSE)</f>
        <v>200</v>
      </c>
      <c r="J61" s="19">
        <f>VLOOKUP("Revêtement de route",'Taux unitaires'!$B$9:$C$11,2,FALSE)</f>
        <v>101</v>
      </c>
      <c r="K61" s="19">
        <f t="shared" si="4"/>
        <v>443860.00000000006</v>
      </c>
      <c r="L61" s="19">
        <f t="shared" si="5"/>
        <v>224149.30000000002</v>
      </c>
      <c r="M61" s="19">
        <f t="shared" si="6"/>
        <v>224149.30000000002</v>
      </c>
      <c r="N61" s="19">
        <f t="shared" si="7"/>
        <v>668009.30000000005</v>
      </c>
      <c r="O61" s="5">
        <f>VLOOKUP(C61,'Durée de vie utile'!$B$15:$E$18,4,FALSE)</f>
        <v>90</v>
      </c>
      <c r="P61" s="5">
        <f>VLOOKUP(C61,'Durée de vie utile'!$B$15:$E$18,3,FALSE)</f>
        <v>60</v>
      </c>
      <c r="Q61" s="5">
        <f>VLOOKUP(C61,'Durée de vie utile'!$B$26:$E$29,4,FALSE)</f>
        <v>30</v>
      </c>
      <c r="R61" s="5">
        <f>VLOOKUP(C61,'Durée de vie utile'!$B$26:$E$29,3,FALSE)</f>
        <v>25</v>
      </c>
      <c r="S61" s="6">
        <f t="shared" si="8"/>
        <v>11133.488333333335</v>
      </c>
      <c r="T61" s="6">
        <f>(N61/(1+'Autres hypothèses'!$D$5))*('Autres hypothèses'!$D$5/(((1+'Autres hypothèses'!$D$5)^Routes!P61-1)))</f>
        <v>8098.4207196810366</v>
      </c>
      <c r="U61" s="5">
        <v>1965</v>
      </c>
      <c r="V61" s="5">
        <f t="shared" si="0"/>
        <v>57</v>
      </c>
      <c r="W61" s="1">
        <f t="shared" si="1"/>
        <v>0.95</v>
      </c>
      <c r="X61" s="3">
        <f t="shared" si="2"/>
        <v>190</v>
      </c>
      <c r="Y61" s="3">
        <f t="shared" si="3"/>
        <v>10</v>
      </c>
    </row>
    <row r="62" spans="1:25" x14ac:dyDescent="0.25">
      <c r="A62" s="20" t="s">
        <v>532</v>
      </c>
      <c r="B62" s="5" t="s">
        <v>1612</v>
      </c>
      <c r="C62" s="5" t="s">
        <v>1613</v>
      </c>
      <c r="D62" s="5"/>
      <c r="E62" s="5"/>
      <c r="F62" s="5"/>
      <c r="G62" s="5">
        <v>1877.7611533500001</v>
      </c>
      <c r="H62" s="5">
        <v>135.96151397081101</v>
      </c>
      <c r="I62" s="19">
        <f>VLOOKUP("Couche de base",'Taux unitaires'!$B$9:$C$11,2,FALSE)</f>
        <v>200</v>
      </c>
      <c r="J62" s="19">
        <f>VLOOKUP("Revêtement de route",'Taux unitaires'!$B$9:$C$11,2,FALSE)</f>
        <v>101</v>
      </c>
      <c r="K62" s="19">
        <f t="shared" si="4"/>
        <v>375552.23067000002</v>
      </c>
      <c r="L62" s="19">
        <f t="shared" si="5"/>
        <v>189653.87648835001</v>
      </c>
      <c r="M62" s="19">
        <f t="shared" si="6"/>
        <v>379307.75297670002</v>
      </c>
      <c r="N62" s="19">
        <f t="shared" si="7"/>
        <v>754859.98364670004</v>
      </c>
      <c r="O62" s="5">
        <f>VLOOKUP(C62,'Durée de vie utile'!$B$15:$E$18,4,FALSE)</f>
        <v>125</v>
      </c>
      <c r="P62" s="5">
        <f>VLOOKUP(C62,'Durée de vie utile'!$B$15:$E$18,3,FALSE)</f>
        <v>100</v>
      </c>
      <c r="Q62" s="5">
        <f>VLOOKUP(C62,'Durée de vie utile'!$B$26:$E$29,4,FALSE)</f>
        <v>50</v>
      </c>
      <c r="R62" s="5">
        <f>VLOOKUP(C62,'Durée de vie utile'!$B$26:$E$29,3,FALSE)</f>
        <v>30</v>
      </c>
      <c r="S62" s="6">
        <f t="shared" si="8"/>
        <v>7548.5998364670004</v>
      </c>
      <c r="T62" s="6">
        <f>(N62/(1+'Autres hypothèses'!$D$5))*('Autres hypothèses'!$D$5/(((1+'Autres hypothèses'!$D$5)^Routes!P62-1)))</f>
        <v>4383.9750096119033</v>
      </c>
      <c r="U62" s="5">
        <v>1972</v>
      </c>
      <c r="V62" s="5">
        <f t="shared" si="0"/>
        <v>50</v>
      </c>
      <c r="W62" s="1">
        <f t="shared" si="1"/>
        <v>0.5</v>
      </c>
      <c r="X62" s="3">
        <f t="shared" si="2"/>
        <v>100</v>
      </c>
      <c r="Y62" s="3">
        <f t="shared" si="3"/>
        <v>100</v>
      </c>
    </row>
    <row r="63" spans="1:25" x14ac:dyDescent="0.25">
      <c r="A63" s="20" t="s">
        <v>533</v>
      </c>
      <c r="B63" s="5" t="s">
        <v>1614</v>
      </c>
      <c r="C63" s="5" t="s">
        <v>1615</v>
      </c>
      <c r="D63" s="5"/>
      <c r="E63" s="5"/>
      <c r="F63" s="5"/>
      <c r="G63" s="5">
        <v>1243.64874671999</v>
      </c>
      <c r="H63" s="5">
        <v>167.86699122175</v>
      </c>
      <c r="I63" s="19">
        <f>VLOOKUP("Couche de base",'Taux unitaires'!$B$9:$C$11,2,FALSE)</f>
        <v>200</v>
      </c>
      <c r="J63" s="19">
        <f>VLOOKUP("Revêtement de route",'Taux unitaires'!$B$9:$C$11,2,FALSE)</f>
        <v>101</v>
      </c>
      <c r="K63" s="19">
        <f t="shared" si="4"/>
        <v>248729.749343998</v>
      </c>
      <c r="L63" s="19">
        <f t="shared" si="5"/>
        <v>125608.52341871899</v>
      </c>
      <c r="M63" s="19">
        <f t="shared" si="6"/>
        <v>251217.04683743799</v>
      </c>
      <c r="N63" s="19">
        <f t="shared" si="7"/>
        <v>499946.79618143599</v>
      </c>
      <c r="O63" s="5">
        <f>VLOOKUP(C63,'Durée de vie utile'!$B$15:$E$18,4,FALSE)</f>
        <v>125</v>
      </c>
      <c r="P63" s="5">
        <f>VLOOKUP(C63,'Durée de vie utile'!$B$15:$E$18,3,FALSE)</f>
        <v>100</v>
      </c>
      <c r="Q63" s="5">
        <f>VLOOKUP(C63,'Durée de vie utile'!$B$26:$E$29,4,FALSE)</f>
        <v>50</v>
      </c>
      <c r="R63" s="5">
        <f>VLOOKUP(C63,'Durée de vie utile'!$B$26:$E$29,3,FALSE)</f>
        <v>30</v>
      </c>
      <c r="S63" s="6">
        <f t="shared" si="8"/>
        <v>4999.46796181436</v>
      </c>
      <c r="T63" s="6">
        <f>(N63/(1+'Autres hypothèses'!$D$5))*('Autres hypothèses'!$D$5/(((1+'Autres hypothèses'!$D$5)^Routes!P63-1)))</f>
        <v>2903.5242403586808</v>
      </c>
      <c r="U63" s="5">
        <v>1965</v>
      </c>
      <c r="V63" s="5">
        <f t="shared" si="0"/>
        <v>57</v>
      </c>
      <c r="W63" s="1">
        <f t="shared" si="1"/>
        <v>0.56999999999999995</v>
      </c>
      <c r="X63" s="3">
        <f t="shared" si="2"/>
        <v>113.99999999999999</v>
      </c>
      <c r="Y63" s="3">
        <f t="shared" si="3"/>
        <v>86.000000000000014</v>
      </c>
    </row>
    <row r="64" spans="1:25" x14ac:dyDescent="0.25">
      <c r="A64" s="20" t="s">
        <v>534</v>
      </c>
      <c r="B64" s="5" t="s">
        <v>1616</v>
      </c>
      <c r="C64" s="5" t="s">
        <v>1617</v>
      </c>
      <c r="D64" s="5"/>
      <c r="E64" s="5"/>
      <c r="F64" s="5"/>
      <c r="G64" s="5">
        <v>2876.3</v>
      </c>
      <c r="H64" s="5">
        <v>239.4</v>
      </c>
      <c r="I64" s="19">
        <f>VLOOKUP("Couche de base",'Taux unitaires'!$B$9:$C$11,2,FALSE)</f>
        <v>200</v>
      </c>
      <c r="J64" s="19">
        <f>VLOOKUP("Revêtement de route",'Taux unitaires'!$B$9:$C$11,2,FALSE)</f>
        <v>101</v>
      </c>
      <c r="K64" s="19">
        <f t="shared" si="4"/>
        <v>575260</v>
      </c>
      <c r="L64" s="19">
        <f t="shared" si="5"/>
        <v>290506.30000000005</v>
      </c>
      <c r="M64" s="19">
        <f t="shared" si="6"/>
        <v>581012.60000000009</v>
      </c>
      <c r="N64" s="19">
        <f t="shared" si="7"/>
        <v>1156272.6000000001</v>
      </c>
      <c r="O64" s="5">
        <f>VLOOKUP(C64,'Durée de vie utile'!$B$15:$E$18,4,FALSE)</f>
        <v>125</v>
      </c>
      <c r="P64" s="5">
        <f>VLOOKUP(C64,'Durée de vie utile'!$B$15:$E$18,3,FALSE)</f>
        <v>100</v>
      </c>
      <c r="Q64" s="5">
        <f>VLOOKUP(C64,'Durée de vie utile'!$B$26:$E$29,4,FALSE)</f>
        <v>50</v>
      </c>
      <c r="R64" s="5">
        <f>VLOOKUP(C64,'Durée de vie utile'!$B$26:$E$29,3,FALSE)</f>
        <v>30</v>
      </c>
      <c r="S64" s="6">
        <f t="shared" si="8"/>
        <v>11562.726000000001</v>
      </c>
      <c r="T64" s="6">
        <f>(N64/(1+'Autres hypothèses'!$D$5))*('Autres hypothèses'!$D$5/(((1+'Autres hypothèses'!$D$5)^Routes!P64-1)))</f>
        <v>6715.2455985419901</v>
      </c>
      <c r="U64" s="5">
        <v>1966</v>
      </c>
      <c r="V64" s="5">
        <f t="shared" si="0"/>
        <v>56</v>
      </c>
      <c r="W64" s="1">
        <f t="shared" si="1"/>
        <v>0.56000000000000005</v>
      </c>
      <c r="X64" s="3">
        <f t="shared" si="2"/>
        <v>112.00000000000001</v>
      </c>
      <c r="Y64" s="3">
        <f t="shared" si="3"/>
        <v>87.999999999999986</v>
      </c>
    </row>
    <row r="65" spans="1:25" x14ac:dyDescent="0.25">
      <c r="A65" s="20" t="s">
        <v>535</v>
      </c>
      <c r="B65" s="5" t="s">
        <v>1618</v>
      </c>
      <c r="C65" s="5" t="s">
        <v>1619</v>
      </c>
      <c r="D65" s="5"/>
      <c r="E65" s="5"/>
      <c r="F65" s="5"/>
      <c r="G65" s="5">
        <v>1879.2</v>
      </c>
      <c r="H65" s="5">
        <v>156.6</v>
      </c>
      <c r="I65" s="19">
        <f>VLOOKUP("Couche de base",'Taux unitaires'!$B$9:$C$11,2,FALSE)</f>
        <v>200</v>
      </c>
      <c r="J65" s="19">
        <f>VLOOKUP("Revêtement de route",'Taux unitaires'!$B$9:$C$11,2,FALSE)</f>
        <v>101</v>
      </c>
      <c r="K65" s="19">
        <f t="shared" si="4"/>
        <v>375840</v>
      </c>
      <c r="L65" s="19">
        <f t="shared" si="5"/>
        <v>189799.2</v>
      </c>
      <c r="M65" s="19">
        <f t="shared" si="6"/>
        <v>379598.4</v>
      </c>
      <c r="N65" s="19">
        <f t="shared" si="7"/>
        <v>755438.4</v>
      </c>
      <c r="O65" s="5">
        <f>VLOOKUP(C65,'Durée de vie utile'!$B$15:$E$18,4,FALSE)</f>
        <v>125</v>
      </c>
      <c r="P65" s="5">
        <f>VLOOKUP(C65,'Durée de vie utile'!$B$15:$E$18,3,FALSE)</f>
        <v>100</v>
      </c>
      <c r="Q65" s="5">
        <f>VLOOKUP(C65,'Durée de vie utile'!$B$26:$E$29,4,FALSE)</f>
        <v>50</v>
      </c>
      <c r="R65" s="5">
        <f>VLOOKUP(C65,'Durée de vie utile'!$B$26:$E$29,3,FALSE)</f>
        <v>30</v>
      </c>
      <c r="S65" s="6">
        <f t="shared" si="8"/>
        <v>7554.384</v>
      </c>
      <c r="T65" s="6">
        <f>(N65/(1+'Autres hypothèses'!$D$5))*('Autres hypothèses'!$D$5/(((1+'Autres hypothèses'!$D$5)^Routes!P65-1)))</f>
        <v>4387.3342588673322</v>
      </c>
      <c r="U65" s="5">
        <v>1967</v>
      </c>
      <c r="V65" s="5">
        <f t="shared" si="0"/>
        <v>55</v>
      </c>
      <c r="W65" s="1">
        <f t="shared" si="1"/>
        <v>0.55000000000000004</v>
      </c>
      <c r="X65" s="3">
        <f t="shared" si="2"/>
        <v>110.00000000000001</v>
      </c>
      <c r="Y65" s="3">
        <f t="shared" si="3"/>
        <v>89.999999999999986</v>
      </c>
    </row>
    <row r="66" spans="1:25" x14ac:dyDescent="0.25">
      <c r="A66" s="20" t="s">
        <v>536</v>
      </c>
      <c r="B66" s="5" t="s">
        <v>1620</v>
      </c>
      <c r="C66" s="5" t="s">
        <v>1621</v>
      </c>
      <c r="D66" s="5"/>
      <c r="E66" s="5"/>
      <c r="F66" s="5"/>
      <c r="G66" s="5">
        <v>1861.9171498000001</v>
      </c>
      <c r="H66" s="5">
        <v>143.35887911763001</v>
      </c>
      <c r="I66" s="19">
        <f>VLOOKUP("Couche de base",'Taux unitaires'!$B$9:$C$11,2,FALSE)</f>
        <v>200</v>
      </c>
      <c r="J66" s="19">
        <f>VLOOKUP("Revêtement de route",'Taux unitaires'!$B$9:$C$11,2,FALSE)</f>
        <v>101</v>
      </c>
      <c r="K66" s="19">
        <f t="shared" si="4"/>
        <v>372383.42996000004</v>
      </c>
      <c r="L66" s="19">
        <f t="shared" si="5"/>
        <v>188053.63212980001</v>
      </c>
      <c r="M66" s="19">
        <f t="shared" si="6"/>
        <v>376107.26425960002</v>
      </c>
      <c r="N66" s="19">
        <f t="shared" si="7"/>
        <v>748490.69421960006</v>
      </c>
      <c r="O66" s="5">
        <f>VLOOKUP(C66,'Durée de vie utile'!$B$15:$E$18,4,FALSE)</f>
        <v>125</v>
      </c>
      <c r="P66" s="5">
        <f>VLOOKUP(C66,'Durée de vie utile'!$B$15:$E$18,3,FALSE)</f>
        <v>100</v>
      </c>
      <c r="Q66" s="5">
        <f>VLOOKUP(C66,'Durée de vie utile'!$B$26:$E$29,4,FALSE)</f>
        <v>50</v>
      </c>
      <c r="R66" s="5">
        <f>VLOOKUP(C66,'Durée de vie utile'!$B$26:$E$29,3,FALSE)</f>
        <v>30</v>
      </c>
      <c r="S66" s="6">
        <f t="shared" si="8"/>
        <v>7484.9069421960003</v>
      </c>
      <c r="T66" s="6">
        <f>(N66/(1+'Autres hypothèses'!$D$5))*('Autres hypothèses'!$D$5/(((1+'Autres hypothèses'!$D$5)^Routes!P66-1)))</f>
        <v>4346.984301027117</v>
      </c>
      <c r="U66" s="5">
        <v>1968</v>
      </c>
      <c r="V66" s="5">
        <f t="shared" ref="V66:V129" si="9">2022-U66</f>
        <v>54</v>
      </c>
      <c r="W66" s="1">
        <f t="shared" ref="W66:W129" si="10">V66/P66</f>
        <v>0.54</v>
      </c>
      <c r="X66" s="3">
        <f t="shared" ref="X66:X129" si="11">W66*I66</f>
        <v>108</v>
      </c>
      <c r="Y66" s="3">
        <f t="shared" ref="Y66:Y129" si="12">I66-X66</f>
        <v>92</v>
      </c>
    </row>
    <row r="67" spans="1:25" x14ac:dyDescent="0.25">
      <c r="A67" s="20" t="s">
        <v>537</v>
      </c>
      <c r="B67" s="5" t="s">
        <v>1622</v>
      </c>
      <c r="C67" s="5" t="s">
        <v>1623</v>
      </c>
      <c r="D67" s="5"/>
      <c r="E67" s="5"/>
      <c r="F67" s="5"/>
      <c r="G67" s="5">
        <v>3990.7</v>
      </c>
      <c r="H67" s="5">
        <v>221.9</v>
      </c>
      <c r="I67" s="19">
        <f>VLOOKUP("Couche de base",'Taux unitaires'!$B$9:$C$11,2,FALSE)</f>
        <v>200</v>
      </c>
      <c r="J67" s="19">
        <f>VLOOKUP("Revêtement de route",'Taux unitaires'!$B$9:$C$11,2,FALSE)</f>
        <v>101</v>
      </c>
      <c r="K67" s="19">
        <f t="shared" ref="K67:K130" si="13">I67*G67</f>
        <v>798140</v>
      </c>
      <c r="L67" s="19">
        <f t="shared" ref="L67:L130" si="14">J67*G67</f>
        <v>403060.69999999995</v>
      </c>
      <c r="M67" s="19">
        <f t="shared" ref="M67:M130" si="15">(ROUNDDOWN(P67/R67,0)-1)*L67</f>
        <v>806121.39999999991</v>
      </c>
      <c r="N67" s="19">
        <f t="shared" ref="N67:N130" si="16">K67+M67</f>
        <v>1604261.4</v>
      </c>
      <c r="O67" s="5">
        <f>VLOOKUP(C67,'Durée de vie utile'!$B$15:$E$18,4,FALSE)</f>
        <v>125</v>
      </c>
      <c r="P67" s="5">
        <f>VLOOKUP(C67,'Durée de vie utile'!$B$15:$E$18,3,FALSE)</f>
        <v>100</v>
      </c>
      <c r="Q67" s="5">
        <f>VLOOKUP(C67,'Durée de vie utile'!$B$26:$E$29,4,FALSE)</f>
        <v>50</v>
      </c>
      <c r="R67" s="5">
        <f>VLOOKUP(C67,'Durée de vie utile'!$B$26:$E$29,3,FALSE)</f>
        <v>30</v>
      </c>
      <c r="S67" s="6">
        <f t="shared" ref="S67:S130" si="17">N67/P67</f>
        <v>16042.614</v>
      </c>
      <c r="T67" s="6">
        <f>(N67/(1+'Autres hypothèses'!$D$5))*('Autres hypothèses'!$D$5/(((1+'Autres hypothèses'!$D$5)^Routes!P67-1)))</f>
        <v>9317.0151271082686</v>
      </c>
      <c r="U67" s="5">
        <v>1968</v>
      </c>
      <c r="V67" s="5">
        <f t="shared" si="9"/>
        <v>54</v>
      </c>
      <c r="W67" s="1">
        <f t="shared" si="10"/>
        <v>0.54</v>
      </c>
      <c r="X67" s="3">
        <f t="shared" si="11"/>
        <v>108</v>
      </c>
      <c r="Y67" s="3">
        <f t="shared" si="12"/>
        <v>92</v>
      </c>
    </row>
    <row r="68" spans="1:25" x14ac:dyDescent="0.25">
      <c r="A68" s="20" t="s">
        <v>538</v>
      </c>
      <c r="B68" s="5" t="s">
        <v>1624</v>
      </c>
      <c r="C68" s="5" t="s">
        <v>1625</v>
      </c>
      <c r="D68" s="5"/>
      <c r="E68" s="5"/>
      <c r="F68" s="5"/>
      <c r="G68" s="5">
        <v>834.58137909000004</v>
      </c>
      <c r="H68" s="5">
        <v>92.794132986542095</v>
      </c>
      <c r="I68" s="19">
        <f>VLOOKUP("Couche de base",'Taux unitaires'!$B$9:$C$11,2,FALSE)</f>
        <v>200</v>
      </c>
      <c r="J68" s="19">
        <f>VLOOKUP("Revêtement de route",'Taux unitaires'!$B$9:$C$11,2,FALSE)</f>
        <v>101</v>
      </c>
      <c r="K68" s="19">
        <f t="shared" si="13"/>
        <v>166916.27581799999</v>
      </c>
      <c r="L68" s="19">
        <f t="shared" si="14"/>
        <v>84292.719288090011</v>
      </c>
      <c r="M68" s="19">
        <f t="shared" si="15"/>
        <v>168585.43857618002</v>
      </c>
      <c r="N68" s="19">
        <f t="shared" si="16"/>
        <v>335501.71439417999</v>
      </c>
      <c r="O68" s="5">
        <f>VLOOKUP(C68,'Durée de vie utile'!$B$15:$E$18,4,FALSE)</f>
        <v>125</v>
      </c>
      <c r="P68" s="5">
        <f>VLOOKUP(C68,'Durée de vie utile'!$B$15:$E$18,3,FALSE)</f>
        <v>100</v>
      </c>
      <c r="Q68" s="5">
        <f>VLOOKUP(C68,'Durée de vie utile'!$B$26:$E$29,4,FALSE)</f>
        <v>50</v>
      </c>
      <c r="R68" s="5">
        <f>VLOOKUP(C68,'Durée de vie utile'!$B$26:$E$29,3,FALSE)</f>
        <v>30</v>
      </c>
      <c r="S68" s="6">
        <f t="shared" si="17"/>
        <v>3355.0171439418</v>
      </c>
      <c r="T68" s="6">
        <f>(N68/(1+'Autres hypothèses'!$D$5))*('Autres hypothèses'!$D$5/(((1+'Autres hypothèses'!$D$5)^Routes!P68-1)))</f>
        <v>1948.4820542221694</v>
      </c>
      <c r="U68" s="5">
        <v>1972</v>
      </c>
      <c r="V68" s="5">
        <f t="shared" si="9"/>
        <v>50</v>
      </c>
      <c r="W68" s="1">
        <f t="shared" si="10"/>
        <v>0.5</v>
      </c>
      <c r="X68" s="3">
        <f t="shared" si="11"/>
        <v>100</v>
      </c>
      <c r="Y68" s="3">
        <f t="shared" si="12"/>
        <v>100</v>
      </c>
    </row>
    <row r="69" spans="1:25" x14ac:dyDescent="0.25">
      <c r="A69" s="20" t="s">
        <v>539</v>
      </c>
      <c r="B69" s="5" t="s">
        <v>1626</v>
      </c>
      <c r="C69" s="5" t="s">
        <v>1627</v>
      </c>
      <c r="D69" s="5"/>
      <c r="E69" s="5"/>
      <c r="F69" s="5"/>
      <c r="G69" s="5">
        <v>2652.45856374</v>
      </c>
      <c r="H69" s="5">
        <v>240.99900525899801</v>
      </c>
      <c r="I69" s="19">
        <f>VLOOKUP("Couche de base",'Taux unitaires'!$B$9:$C$11,2,FALSE)</f>
        <v>200</v>
      </c>
      <c r="J69" s="19">
        <f>VLOOKUP("Revêtement de route",'Taux unitaires'!$B$9:$C$11,2,FALSE)</f>
        <v>101</v>
      </c>
      <c r="K69" s="19">
        <f t="shared" si="13"/>
        <v>530491.71274800005</v>
      </c>
      <c r="L69" s="19">
        <f t="shared" si="14"/>
        <v>267898.31493773998</v>
      </c>
      <c r="M69" s="19">
        <f t="shared" si="15"/>
        <v>535796.62987547996</v>
      </c>
      <c r="N69" s="19">
        <f t="shared" si="16"/>
        <v>1066288.3426234801</v>
      </c>
      <c r="O69" s="5">
        <f>VLOOKUP(C69,'Durée de vie utile'!$B$15:$E$18,4,FALSE)</f>
        <v>125</v>
      </c>
      <c r="P69" s="5">
        <f>VLOOKUP(C69,'Durée de vie utile'!$B$15:$E$18,3,FALSE)</f>
        <v>100</v>
      </c>
      <c r="Q69" s="5">
        <f>VLOOKUP(C69,'Durée de vie utile'!$B$26:$E$29,4,FALSE)</f>
        <v>50</v>
      </c>
      <c r="R69" s="5">
        <f>VLOOKUP(C69,'Durée de vie utile'!$B$26:$E$29,3,FALSE)</f>
        <v>30</v>
      </c>
      <c r="S69" s="6">
        <f t="shared" si="17"/>
        <v>10662.883426234801</v>
      </c>
      <c r="T69" s="6">
        <f>(N69/(1+'Autres hypothèses'!$D$5))*('Autres hypothèses'!$D$5/(((1+'Autres hypothèses'!$D$5)^Routes!P69-1)))</f>
        <v>6192.6470449779381</v>
      </c>
      <c r="U69" s="5">
        <v>1968</v>
      </c>
      <c r="V69" s="5">
        <f t="shared" si="9"/>
        <v>54</v>
      </c>
      <c r="W69" s="1">
        <f t="shared" si="10"/>
        <v>0.54</v>
      </c>
      <c r="X69" s="3">
        <f t="shared" si="11"/>
        <v>108</v>
      </c>
      <c r="Y69" s="3">
        <f t="shared" si="12"/>
        <v>92</v>
      </c>
    </row>
    <row r="70" spans="1:25" x14ac:dyDescent="0.25">
      <c r="A70" s="20" t="s">
        <v>540</v>
      </c>
      <c r="B70" s="5" t="s">
        <v>1628</v>
      </c>
      <c r="C70" s="5" t="s">
        <v>1629</v>
      </c>
      <c r="D70" s="5"/>
      <c r="E70" s="5"/>
      <c r="F70" s="5"/>
      <c r="G70" s="5">
        <v>1155.17271303999</v>
      </c>
      <c r="H70" s="5">
        <v>97.152987168156201</v>
      </c>
      <c r="I70" s="19">
        <f>VLOOKUP("Couche de base",'Taux unitaires'!$B$9:$C$11,2,FALSE)</f>
        <v>200</v>
      </c>
      <c r="J70" s="19">
        <f>VLOOKUP("Revêtement de route",'Taux unitaires'!$B$9:$C$11,2,FALSE)</f>
        <v>101</v>
      </c>
      <c r="K70" s="19">
        <f t="shared" si="13"/>
        <v>231034.54260799798</v>
      </c>
      <c r="L70" s="19">
        <f t="shared" si="14"/>
        <v>116672.44401703899</v>
      </c>
      <c r="M70" s="19">
        <f t="shared" si="15"/>
        <v>233344.88803407797</v>
      </c>
      <c r="N70" s="19">
        <f t="shared" si="16"/>
        <v>464379.43064207595</v>
      </c>
      <c r="O70" s="5">
        <f>VLOOKUP(C70,'Durée de vie utile'!$B$15:$E$18,4,FALSE)</f>
        <v>125</v>
      </c>
      <c r="P70" s="5">
        <f>VLOOKUP(C70,'Durée de vie utile'!$B$15:$E$18,3,FALSE)</f>
        <v>100</v>
      </c>
      <c r="Q70" s="5">
        <f>VLOOKUP(C70,'Durée de vie utile'!$B$26:$E$29,4,FALSE)</f>
        <v>50</v>
      </c>
      <c r="R70" s="5">
        <f>VLOOKUP(C70,'Durée de vie utile'!$B$26:$E$29,3,FALSE)</f>
        <v>30</v>
      </c>
      <c r="S70" s="6">
        <f t="shared" si="17"/>
        <v>4643.7943064207593</v>
      </c>
      <c r="T70" s="6">
        <f>(N70/(1+'Autres hypothèses'!$D$5))*('Autres hypothèses'!$D$5/(((1+'Autres hypothèses'!$D$5)^Routes!P70-1)))</f>
        <v>2696.9608444173418</v>
      </c>
      <c r="U70" s="5">
        <v>1972</v>
      </c>
      <c r="V70" s="5">
        <f t="shared" si="9"/>
        <v>50</v>
      </c>
      <c r="W70" s="1">
        <f t="shared" si="10"/>
        <v>0.5</v>
      </c>
      <c r="X70" s="3">
        <f t="shared" si="11"/>
        <v>100</v>
      </c>
      <c r="Y70" s="3">
        <f t="shared" si="12"/>
        <v>100</v>
      </c>
    </row>
    <row r="71" spans="1:25" x14ac:dyDescent="0.25">
      <c r="A71" s="20" t="s">
        <v>541</v>
      </c>
      <c r="B71" s="5" t="s">
        <v>1630</v>
      </c>
      <c r="C71" s="5" t="s">
        <v>1631</v>
      </c>
      <c r="D71" s="5"/>
      <c r="E71" s="5"/>
      <c r="F71" s="5"/>
      <c r="G71" s="5">
        <v>6918.40018632999</v>
      </c>
      <c r="H71" s="5">
        <v>720.39214613002798</v>
      </c>
      <c r="I71" s="19">
        <f>VLOOKUP("Couche de base",'Taux unitaires'!$B$9:$C$11,2,FALSE)</f>
        <v>200</v>
      </c>
      <c r="J71" s="19">
        <f>VLOOKUP("Revêtement de route",'Taux unitaires'!$B$9:$C$11,2,FALSE)</f>
        <v>101</v>
      </c>
      <c r="K71" s="19">
        <f t="shared" si="13"/>
        <v>1383680.0372659981</v>
      </c>
      <c r="L71" s="19">
        <f t="shared" si="14"/>
        <v>698758.418819329</v>
      </c>
      <c r="M71" s="19">
        <f t="shared" si="15"/>
        <v>698758.418819329</v>
      </c>
      <c r="N71" s="19">
        <f t="shared" si="16"/>
        <v>2082438.4560853271</v>
      </c>
      <c r="O71" s="5">
        <f>VLOOKUP(C71,'Durée de vie utile'!$B$15:$E$18,4,FALSE)</f>
        <v>90</v>
      </c>
      <c r="P71" s="5">
        <f>VLOOKUP(C71,'Durée de vie utile'!$B$15:$E$18,3,FALSE)</f>
        <v>60</v>
      </c>
      <c r="Q71" s="5">
        <f>VLOOKUP(C71,'Durée de vie utile'!$B$26:$E$29,4,FALSE)</f>
        <v>30</v>
      </c>
      <c r="R71" s="5">
        <f>VLOOKUP(C71,'Durée de vie utile'!$B$26:$E$29,3,FALSE)</f>
        <v>25</v>
      </c>
      <c r="S71" s="6">
        <f t="shared" si="17"/>
        <v>34707.307601422115</v>
      </c>
      <c r="T71" s="6">
        <f>(N71/(1+'Autres hypothèses'!$D$5))*('Autres hypothèses'!$D$5/(((1+'Autres hypothèses'!$D$5)^Routes!P71-1)))</f>
        <v>25245.850230261763</v>
      </c>
      <c r="U71" s="5">
        <v>1972</v>
      </c>
      <c r="V71" s="5">
        <f t="shared" si="9"/>
        <v>50</v>
      </c>
      <c r="W71" s="1">
        <f t="shared" si="10"/>
        <v>0.83333333333333337</v>
      </c>
      <c r="X71" s="3">
        <f t="shared" si="11"/>
        <v>166.66666666666669</v>
      </c>
      <c r="Y71" s="3">
        <f t="shared" si="12"/>
        <v>33.333333333333314</v>
      </c>
    </row>
    <row r="72" spans="1:25" x14ac:dyDescent="0.25">
      <c r="A72" s="20" t="s">
        <v>542</v>
      </c>
      <c r="B72" s="5" t="s">
        <v>1632</v>
      </c>
      <c r="C72" s="5" t="s">
        <v>1633</v>
      </c>
      <c r="D72" s="5"/>
      <c r="E72" s="5"/>
      <c r="F72" s="5"/>
      <c r="G72" s="5">
        <v>3925.5</v>
      </c>
      <c r="H72" s="5">
        <v>208.7</v>
      </c>
      <c r="I72" s="19">
        <f>VLOOKUP("Couche de base",'Taux unitaires'!$B$9:$C$11,2,FALSE)</f>
        <v>200</v>
      </c>
      <c r="J72" s="19">
        <f>VLOOKUP("Revêtement de route",'Taux unitaires'!$B$9:$C$11,2,FALSE)</f>
        <v>101</v>
      </c>
      <c r="K72" s="19">
        <f t="shared" si="13"/>
        <v>785100</v>
      </c>
      <c r="L72" s="19">
        <f t="shared" si="14"/>
        <v>396475.5</v>
      </c>
      <c r="M72" s="19">
        <f t="shared" si="15"/>
        <v>792951</v>
      </c>
      <c r="N72" s="19">
        <f t="shared" si="16"/>
        <v>1578051</v>
      </c>
      <c r="O72" s="5">
        <f>VLOOKUP(C72,'Durée de vie utile'!$B$15:$E$18,4,FALSE)</f>
        <v>125</v>
      </c>
      <c r="P72" s="5">
        <f>VLOOKUP(C72,'Durée de vie utile'!$B$15:$E$18,3,FALSE)</f>
        <v>100</v>
      </c>
      <c r="Q72" s="5">
        <f>VLOOKUP(C72,'Durée de vie utile'!$B$26:$E$29,4,FALSE)</f>
        <v>50</v>
      </c>
      <c r="R72" s="5">
        <f>VLOOKUP(C72,'Durée de vie utile'!$B$26:$E$29,3,FALSE)</f>
        <v>30</v>
      </c>
      <c r="S72" s="6">
        <f t="shared" si="17"/>
        <v>15780.51</v>
      </c>
      <c r="T72" s="6">
        <f>(N72/(1+'Autres hypothèses'!$D$5))*('Autres hypothèses'!$D$5/(((1+'Autres hypothèses'!$D$5)^Routes!P72-1)))</f>
        <v>9164.7938661045719</v>
      </c>
      <c r="U72" s="5">
        <v>1968</v>
      </c>
      <c r="V72" s="5">
        <f t="shared" si="9"/>
        <v>54</v>
      </c>
      <c r="W72" s="1">
        <f t="shared" si="10"/>
        <v>0.54</v>
      </c>
      <c r="X72" s="3">
        <f t="shared" si="11"/>
        <v>108</v>
      </c>
      <c r="Y72" s="3">
        <f t="shared" si="12"/>
        <v>92</v>
      </c>
    </row>
    <row r="73" spans="1:25" x14ac:dyDescent="0.25">
      <c r="A73" s="20" t="s">
        <v>543</v>
      </c>
      <c r="B73" s="5" t="s">
        <v>1634</v>
      </c>
      <c r="C73" s="5" t="s">
        <v>1635</v>
      </c>
      <c r="D73" s="5"/>
      <c r="E73" s="5"/>
      <c r="F73" s="5"/>
      <c r="G73" s="5">
        <v>1323.8</v>
      </c>
      <c r="H73" s="5">
        <v>66.900000000000006</v>
      </c>
      <c r="I73" s="19">
        <f>VLOOKUP("Couche de base",'Taux unitaires'!$B$9:$C$11,2,FALSE)</f>
        <v>200</v>
      </c>
      <c r="J73" s="19">
        <f>VLOOKUP("Revêtement de route",'Taux unitaires'!$B$9:$C$11,2,FALSE)</f>
        <v>101</v>
      </c>
      <c r="K73" s="19">
        <f t="shared" si="13"/>
        <v>264760</v>
      </c>
      <c r="L73" s="19">
        <f t="shared" si="14"/>
        <v>133703.79999999999</v>
      </c>
      <c r="M73" s="19">
        <f t="shared" si="15"/>
        <v>267407.59999999998</v>
      </c>
      <c r="N73" s="19">
        <f t="shared" si="16"/>
        <v>532167.6</v>
      </c>
      <c r="O73" s="5">
        <f>VLOOKUP(C73,'Durée de vie utile'!$B$15:$E$18,4,FALSE)</f>
        <v>125</v>
      </c>
      <c r="P73" s="5">
        <f>VLOOKUP(C73,'Durée de vie utile'!$B$15:$E$18,3,FALSE)</f>
        <v>100</v>
      </c>
      <c r="Q73" s="5">
        <f>VLOOKUP(C73,'Durée de vie utile'!$B$26:$E$29,4,FALSE)</f>
        <v>50</v>
      </c>
      <c r="R73" s="5">
        <f>VLOOKUP(C73,'Durée de vie utile'!$B$26:$E$29,3,FALSE)</f>
        <v>30</v>
      </c>
      <c r="S73" s="6">
        <f t="shared" si="17"/>
        <v>5321.6759999999995</v>
      </c>
      <c r="T73" s="6">
        <f>(N73/(1+'Autres hypothèses'!$D$5))*('Autres hypothèses'!$D$5/(((1+'Autres hypothèses'!$D$5)^Routes!P73-1)))</f>
        <v>3090.6519220352134</v>
      </c>
      <c r="U73" s="5">
        <v>1968</v>
      </c>
      <c r="V73" s="5">
        <f t="shared" si="9"/>
        <v>54</v>
      </c>
      <c r="W73" s="1">
        <f t="shared" si="10"/>
        <v>0.54</v>
      </c>
      <c r="X73" s="3">
        <f t="shared" si="11"/>
        <v>108</v>
      </c>
      <c r="Y73" s="3">
        <f t="shared" si="12"/>
        <v>92</v>
      </c>
    </row>
    <row r="74" spans="1:25" x14ac:dyDescent="0.25">
      <c r="A74" s="20" t="s">
        <v>544</v>
      </c>
      <c r="B74" s="5" t="s">
        <v>1636</v>
      </c>
      <c r="C74" s="5" t="s">
        <v>1637</v>
      </c>
      <c r="D74" s="5"/>
      <c r="E74" s="5"/>
      <c r="F74" s="5"/>
      <c r="G74" s="5">
        <v>405.7</v>
      </c>
      <c r="H74" s="5">
        <v>45.1</v>
      </c>
      <c r="I74" s="19">
        <f>VLOOKUP("Couche de base",'Taux unitaires'!$B$9:$C$11,2,FALSE)</f>
        <v>200</v>
      </c>
      <c r="J74" s="19">
        <f>VLOOKUP("Revêtement de route",'Taux unitaires'!$B$9:$C$11,2,FALSE)</f>
        <v>101</v>
      </c>
      <c r="K74" s="19">
        <f t="shared" si="13"/>
        <v>81140</v>
      </c>
      <c r="L74" s="19">
        <f t="shared" si="14"/>
        <v>40975.699999999997</v>
      </c>
      <c r="M74" s="19">
        <f t="shared" si="15"/>
        <v>81951.399999999994</v>
      </c>
      <c r="N74" s="19">
        <f t="shared" si="16"/>
        <v>163091.4</v>
      </c>
      <c r="O74" s="5">
        <f>VLOOKUP(C74,'Durée de vie utile'!$B$15:$E$18,4,FALSE)</f>
        <v>125</v>
      </c>
      <c r="P74" s="5">
        <f>VLOOKUP(C74,'Durée de vie utile'!$B$15:$E$18,3,FALSE)</f>
        <v>100</v>
      </c>
      <c r="Q74" s="5">
        <f>VLOOKUP(C74,'Durée de vie utile'!$B$26:$E$29,4,FALSE)</f>
        <v>50</v>
      </c>
      <c r="R74" s="5">
        <f>VLOOKUP(C74,'Durée de vie utile'!$B$26:$E$29,3,FALSE)</f>
        <v>30</v>
      </c>
      <c r="S74" s="6">
        <f t="shared" si="17"/>
        <v>1630.914</v>
      </c>
      <c r="T74" s="6">
        <f>(N74/(1+'Autres hypothèses'!$D$5))*('Autres hypothèses'!$D$5/(((1+'Autres hypothèses'!$D$5)^Routes!P74-1)))</f>
        <v>947.18045382209255</v>
      </c>
      <c r="U74" s="5">
        <v>1968</v>
      </c>
      <c r="V74" s="5">
        <f t="shared" si="9"/>
        <v>54</v>
      </c>
      <c r="W74" s="1">
        <f t="shared" si="10"/>
        <v>0.54</v>
      </c>
      <c r="X74" s="3">
        <f t="shared" si="11"/>
        <v>108</v>
      </c>
      <c r="Y74" s="3">
        <f t="shared" si="12"/>
        <v>92</v>
      </c>
    </row>
    <row r="75" spans="1:25" x14ac:dyDescent="0.25">
      <c r="A75" s="20" t="s">
        <v>545</v>
      </c>
      <c r="B75" s="5" t="s">
        <v>1638</v>
      </c>
      <c r="C75" s="5" t="s">
        <v>1639</v>
      </c>
      <c r="D75" s="5"/>
      <c r="E75" s="5"/>
      <c r="F75" s="5"/>
      <c r="G75" s="5">
        <v>25373.4</v>
      </c>
      <c r="H75" s="5">
        <v>1377.9</v>
      </c>
      <c r="I75" s="19">
        <f>VLOOKUP("Couche de base",'Taux unitaires'!$B$9:$C$11,2,FALSE)</f>
        <v>200</v>
      </c>
      <c r="J75" s="19">
        <f>VLOOKUP("Revêtement de route",'Taux unitaires'!$B$9:$C$11,2,FALSE)</f>
        <v>101</v>
      </c>
      <c r="K75" s="19">
        <f t="shared" si="13"/>
        <v>5074680</v>
      </c>
      <c r="L75" s="19">
        <f t="shared" si="14"/>
        <v>2562713.4000000004</v>
      </c>
      <c r="M75" s="19">
        <f t="shared" si="15"/>
        <v>2562713.4000000004</v>
      </c>
      <c r="N75" s="19">
        <f t="shared" si="16"/>
        <v>7637393.4000000004</v>
      </c>
      <c r="O75" s="5">
        <f>VLOOKUP(C75,'Durée de vie utile'!$B$15:$E$18,4,FALSE)</f>
        <v>90</v>
      </c>
      <c r="P75" s="5">
        <f>VLOOKUP(C75,'Durée de vie utile'!$B$15:$E$18,3,FALSE)</f>
        <v>60</v>
      </c>
      <c r="Q75" s="5">
        <f>VLOOKUP(C75,'Durée de vie utile'!$B$26:$E$29,4,FALSE)</f>
        <v>30</v>
      </c>
      <c r="R75" s="5">
        <f>VLOOKUP(C75,'Durée de vie utile'!$B$26:$E$29,3,FALSE)</f>
        <v>25</v>
      </c>
      <c r="S75" s="6">
        <f t="shared" si="17"/>
        <v>127289.89</v>
      </c>
      <c r="T75" s="6">
        <f>(N75/(1+'Autres hypothèses'!$D$5))*('Autres hypothèses'!$D$5/(((1+'Autres hypothèses'!$D$5)^Routes!P75-1)))</f>
        <v>92589.766272588124</v>
      </c>
      <c r="U75" s="5">
        <v>1968</v>
      </c>
      <c r="V75" s="5">
        <f t="shared" si="9"/>
        <v>54</v>
      </c>
      <c r="W75" s="1">
        <f t="shared" si="10"/>
        <v>0.9</v>
      </c>
      <c r="X75" s="3">
        <f t="shared" si="11"/>
        <v>180</v>
      </c>
      <c r="Y75" s="3">
        <f t="shared" si="12"/>
        <v>20</v>
      </c>
    </row>
    <row r="76" spans="1:25" x14ac:dyDescent="0.25">
      <c r="A76" s="20" t="s">
        <v>546</v>
      </c>
      <c r="B76" s="5" t="s">
        <v>1640</v>
      </c>
      <c r="C76" s="5" t="s">
        <v>1641</v>
      </c>
      <c r="D76" s="5"/>
      <c r="E76" s="5"/>
      <c r="F76" s="5"/>
      <c r="G76" s="5">
        <v>4190.4019324700002</v>
      </c>
      <c r="H76" s="5">
        <v>341.05504550528002</v>
      </c>
      <c r="I76" s="19">
        <f>VLOOKUP("Couche de base",'Taux unitaires'!$B$9:$C$11,2,FALSE)</f>
        <v>200</v>
      </c>
      <c r="J76" s="19">
        <f>VLOOKUP("Revêtement de route",'Taux unitaires'!$B$9:$C$11,2,FALSE)</f>
        <v>101</v>
      </c>
      <c r="K76" s="19">
        <f t="shared" si="13"/>
        <v>838080.38649400009</v>
      </c>
      <c r="L76" s="19">
        <f t="shared" si="14"/>
        <v>423230.59517947002</v>
      </c>
      <c r="M76" s="19">
        <f t="shared" si="15"/>
        <v>846461.19035894005</v>
      </c>
      <c r="N76" s="19">
        <f t="shared" si="16"/>
        <v>1684541.57685294</v>
      </c>
      <c r="O76" s="5">
        <f>VLOOKUP(C76,'Durée de vie utile'!$B$15:$E$18,4,FALSE)</f>
        <v>100</v>
      </c>
      <c r="P76" s="5">
        <f>VLOOKUP(C76,'Durée de vie utile'!$B$15:$E$18,3,FALSE)</f>
        <v>80</v>
      </c>
      <c r="Q76" s="5">
        <f>VLOOKUP(C76,'Durée de vie utile'!$B$26:$E$29,4,FALSE)</f>
        <v>40</v>
      </c>
      <c r="R76" s="5">
        <f>VLOOKUP(C76,'Durée de vie utile'!$B$26:$E$29,3,FALSE)</f>
        <v>25</v>
      </c>
      <c r="S76" s="6">
        <f t="shared" si="17"/>
        <v>21056.769710661749</v>
      </c>
      <c r="T76" s="6">
        <f>(N76/(1+'Autres hypothèses'!$D$5))*('Autres hypothèses'!$D$5/(((1+'Autres hypothèses'!$D$5)^Routes!P76-1)))</f>
        <v>13707.915573088951</v>
      </c>
      <c r="U76" s="5">
        <v>1969</v>
      </c>
      <c r="V76" s="5">
        <f t="shared" si="9"/>
        <v>53</v>
      </c>
      <c r="W76" s="1">
        <f t="shared" si="10"/>
        <v>0.66249999999999998</v>
      </c>
      <c r="X76" s="3">
        <f t="shared" si="11"/>
        <v>132.5</v>
      </c>
      <c r="Y76" s="3">
        <f t="shared" si="12"/>
        <v>67.5</v>
      </c>
    </row>
    <row r="77" spans="1:25" x14ac:dyDescent="0.25">
      <c r="A77" s="20" t="s">
        <v>547</v>
      </c>
      <c r="B77" s="5" t="s">
        <v>1642</v>
      </c>
      <c r="C77" s="5" t="s">
        <v>1643</v>
      </c>
      <c r="D77" s="5"/>
      <c r="E77" s="5"/>
      <c r="F77" s="5"/>
      <c r="G77" s="5">
        <v>2601.3775167099898</v>
      </c>
      <c r="H77" s="5">
        <v>200.293855716792</v>
      </c>
      <c r="I77" s="19">
        <f>VLOOKUP("Couche de base",'Taux unitaires'!$B$9:$C$11,2,FALSE)</f>
        <v>200</v>
      </c>
      <c r="J77" s="19">
        <f>VLOOKUP("Revêtement de route",'Taux unitaires'!$B$9:$C$11,2,FALSE)</f>
        <v>101</v>
      </c>
      <c r="K77" s="19">
        <f t="shared" si="13"/>
        <v>520275.50334199797</v>
      </c>
      <c r="L77" s="19">
        <f t="shared" si="14"/>
        <v>262739.12918770895</v>
      </c>
      <c r="M77" s="19">
        <f t="shared" si="15"/>
        <v>525478.25837541791</v>
      </c>
      <c r="N77" s="19">
        <f t="shared" si="16"/>
        <v>1045753.7617174159</v>
      </c>
      <c r="O77" s="5">
        <f>VLOOKUP(C77,'Durée de vie utile'!$B$15:$E$18,4,FALSE)</f>
        <v>125</v>
      </c>
      <c r="P77" s="5">
        <f>VLOOKUP(C77,'Durée de vie utile'!$B$15:$E$18,3,FALSE)</f>
        <v>100</v>
      </c>
      <c r="Q77" s="5">
        <f>VLOOKUP(C77,'Durée de vie utile'!$B$26:$E$29,4,FALSE)</f>
        <v>50</v>
      </c>
      <c r="R77" s="5">
        <f>VLOOKUP(C77,'Durée de vie utile'!$B$26:$E$29,3,FALSE)</f>
        <v>30</v>
      </c>
      <c r="S77" s="6">
        <f t="shared" si="17"/>
        <v>10457.537617174159</v>
      </c>
      <c r="T77" s="6">
        <f>(N77/(1+'Autres hypothèses'!$D$5))*('Autres hypothèses'!$D$5/(((1+'Autres hypothèses'!$D$5)^Routes!P77-1)))</f>
        <v>6073.3890481635599</v>
      </c>
      <c r="U77" s="5">
        <v>1972</v>
      </c>
      <c r="V77" s="5">
        <f t="shared" si="9"/>
        <v>50</v>
      </c>
      <c r="W77" s="1">
        <f t="shared" si="10"/>
        <v>0.5</v>
      </c>
      <c r="X77" s="3">
        <f t="shared" si="11"/>
        <v>100</v>
      </c>
      <c r="Y77" s="3">
        <f t="shared" si="12"/>
        <v>100</v>
      </c>
    </row>
    <row r="78" spans="1:25" x14ac:dyDescent="0.25">
      <c r="A78" s="20" t="s">
        <v>548</v>
      </c>
      <c r="B78" s="5" t="s">
        <v>1644</v>
      </c>
      <c r="C78" s="5" t="s">
        <v>1645</v>
      </c>
      <c r="D78" s="5"/>
      <c r="E78" s="5"/>
      <c r="F78" s="5"/>
      <c r="G78" s="5">
        <v>3305.9</v>
      </c>
      <c r="H78" s="5">
        <v>254.5</v>
      </c>
      <c r="I78" s="19">
        <f>VLOOKUP("Couche de base",'Taux unitaires'!$B$9:$C$11,2,FALSE)</f>
        <v>200</v>
      </c>
      <c r="J78" s="19">
        <f>VLOOKUP("Revêtement de route",'Taux unitaires'!$B$9:$C$11,2,FALSE)</f>
        <v>101</v>
      </c>
      <c r="K78" s="19">
        <f t="shared" si="13"/>
        <v>661180</v>
      </c>
      <c r="L78" s="19">
        <f t="shared" si="14"/>
        <v>333895.90000000002</v>
      </c>
      <c r="M78" s="19">
        <f t="shared" si="15"/>
        <v>667791.80000000005</v>
      </c>
      <c r="N78" s="19">
        <f t="shared" si="16"/>
        <v>1328971.8</v>
      </c>
      <c r="O78" s="5">
        <f>VLOOKUP(C78,'Durée de vie utile'!$B$15:$E$18,4,FALSE)</f>
        <v>125</v>
      </c>
      <c r="P78" s="5">
        <f>VLOOKUP(C78,'Durée de vie utile'!$B$15:$E$18,3,FALSE)</f>
        <v>100</v>
      </c>
      <c r="Q78" s="5">
        <f>VLOOKUP(C78,'Durée de vie utile'!$B$26:$E$29,4,FALSE)</f>
        <v>50</v>
      </c>
      <c r="R78" s="5">
        <f>VLOOKUP(C78,'Durée de vie utile'!$B$26:$E$29,3,FALSE)</f>
        <v>30</v>
      </c>
      <c r="S78" s="6">
        <f t="shared" si="17"/>
        <v>13289.718000000001</v>
      </c>
      <c r="T78" s="6">
        <f>(N78/(1+'Autres hypothèses'!$D$5))*('Autres hypothèses'!$D$5/(((1+'Autres hypothèses'!$D$5)^Routes!P78-1)))</f>
        <v>7718.2249501859897</v>
      </c>
      <c r="U78" s="5">
        <v>1972</v>
      </c>
      <c r="V78" s="5">
        <f t="shared" si="9"/>
        <v>50</v>
      </c>
      <c r="W78" s="1">
        <f t="shared" si="10"/>
        <v>0.5</v>
      </c>
      <c r="X78" s="3">
        <f t="shared" si="11"/>
        <v>100</v>
      </c>
      <c r="Y78" s="3">
        <f t="shared" si="12"/>
        <v>100</v>
      </c>
    </row>
    <row r="79" spans="1:25" x14ac:dyDescent="0.25">
      <c r="A79" s="20" t="s">
        <v>549</v>
      </c>
      <c r="B79" s="5" t="s">
        <v>1646</v>
      </c>
      <c r="C79" s="5" t="s">
        <v>1647</v>
      </c>
      <c r="D79" s="5"/>
      <c r="E79" s="5"/>
      <c r="F79" s="5"/>
      <c r="G79" s="5">
        <v>846.29533728000001</v>
      </c>
      <c r="H79" s="5">
        <v>81.403187894072502</v>
      </c>
      <c r="I79" s="19">
        <f>VLOOKUP("Couche de base",'Taux unitaires'!$B$9:$C$11,2,FALSE)</f>
        <v>200</v>
      </c>
      <c r="J79" s="19">
        <f>VLOOKUP("Revêtement de route",'Taux unitaires'!$B$9:$C$11,2,FALSE)</f>
        <v>101</v>
      </c>
      <c r="K79" s="19">
        <f t="shared" si="13"/>
        <v>169259.06745599999</v>
      </c>
      <c r="L79" s="19">
        <f t="shared" si="14"/>
        <v>85475.829065280006</v>
      </c>
      <c r="M79" s="19">
        <f t="shared" si="15"/>
        <v>170951.65813056001</v>
      </c>
      <c r="N79" s="19">
        <f t="shared" si="16"/>
        <v>340210.72558655997</v>
      </c>
      <c r="O79" s="5">
        <f>VLOOKUP(C79,'Durée de vie utile'!$B$15:$E$18,4,FALSE)</f>
        <v>125</v>
      </c>
      <c r="P79" s="5">
        <f>VLOOKUP(C79,'Durée de vie utile'!$B$15:$E$18,3,FALSE)</f>
        <v>100</v>
      </c>
      <c r="Q79" s="5">
        <f>VLOOKUP(C79,'Durée de vie utile'!$B$26:$E$29,4,FALSE)</f>
        <v>50</v>
      </c>
      <c r="R79" s="5">
        <f>VLOOKUP(C79,'Durée de vie utile'!$B$26:$E$29,3,FALSE)</f>
        <v>30</v>
      </c>
      <c r="S79" s="6">
        <f t="shared" si="17"/>
        <v>3402.1072558655997</v>
      </c>
      <c r="T79" s="6">
        <f>(N79/(1+'Autres hypothèses'!$D$5))*('Autres hypothèses'!$D$5/(((1+'Autres hypothèses'!$D$5)^Routes!P79-1)))</f>
        <v>1975.8304205876047</v>
      </c>
      <c r="U79" s="5">
        <v>1972</v>
      </c>
      <c r="V79" s="5">
        <f t="shared" si="9"/>
        <v>50</v>
      </c>
      <c r="W79" s="1">
        <f t="shared" si="10"/>
        <v>0.5</v>
      </c>
      <c r="X79" s="3">
        <f t="shared" si="11"/>
        <v>100</v>
      </c>
      <c r="Y79" s="3">
        <f t="shared" si="12"/>
        <v>100</v>
      </c>
    </row>
    <row r="80" spans="1:25" x14ac:dyDescent="0.25">
      <c r="A80" s="20" t="s">
        <v>550</v>
      </c>
      <c r="B80" s="5" t="s">
        <v>1648</v>
      </c>
      <c r="C80" s="5" t="s">
        <v>1649</v>
      </c>
      <c r="D80" s="5"/>
      <c r="E80" s="5"/>
      <c r="F80" s="5"/>
      <c r="G80" s="5">
        <v>499.83273583999897</v>
      </c>
      <c r="H80" s="5">
        <v>46.708016349871002</v>
      </c>
      <c r="I80" s="19">
        <f>VLOOKUP("Couche de base",'Taux unitaires'!$B$9:$C$11,2,FALSE)</f>
        <v>200</v>
      </c>
      <c r="J80" s="19">
        <f>VLOOKUP("Revêtement de route",'Taux unitaires'!$B$9:$C$11,2,FALSE)</f>
        <v>101</v>
      </c>
      <c r="K80" s="19">
        <f t="shared" si="13"/>
        <v>99966.547167999801</v>
      </c>
      <c r="L80" s="19">
        <f t="shared" si="14"/>
        <v>50483.106319839899</v>
      </c>
      <c r="M80" s="19">
        <f t="shared" si="15"/>
        <v>100966.2126396798</v>
      </c>
      <c r="N80" s="19">
        <f t="shared" si="16"/>
        <v>200932.7598076796</v>
      </c>
      <c r="O80" s="5">
        <f>VLOOKUP(C80,'Durée de vie utile'!$B$15:$E$18,4,FALSE)</f>
        <v>125</v>
      </c>
      <c r="P80" s="5">
        <f>VLOOKUP(C80,'Durée de vie utile'!$B$15:$E$18,3,FALSE)</f>
        <v>100</v>
      </c>
      <c r="Q80" s="5">
        <f>VLOOKUP(C80,'Durée de vie utile'!$B$26:$E$29,4,FALSE)</f>
        <v>50</v>
      </c>
      <c r="R80" s="5">
        <f>VLOOKUP(C80,'Durée de vie utile'!$B$26:$E$29,3,FALSE)</f>
        <v>30</v>
      </c>
      <c r="S80" s="6">
        <f t="shared" si="17"/>
        <v>2009.327598076796</v>
      </c>
      <c r="T80" s="6">
        <f>(N80/(1+'Autres hypothèses'!$D$5))*('Autres hypothèses'!$D$5/(((1+'Autres hypothèses'!$D$5)^Routes!P80-1)))</f>
        <v>1166.9504500075634</v>
      </c>
      <c r="U80" s="5">
        <v>1972</v>
      </c>
      <c r="V80" s="5">
        <f t="shared" si="9"/>
        <v>50</v>
      </c>
      <c r="W80" s="1">
        <f t="shared" si="10"/>
        <v>0.5</v>
      </c>
      <c r="X80" s="3">
        <f t="shared" si="11"/>
        <v>100</v>
      </c>
      <c r="Y80" s="3">
        <f t="shared" si="12"/>
        <v>100</v>
      </c>
    </row>
    <row r="81" spans="1:25" x14ac:dyDescent="0.25">
      <c r="A81" s="20" t="s">
        <v>551</v>
      </c>
      <c r="B81" s="5" t="s">
        <v>1650</v>
      </c>
      <c r="C81" s="5" t="s">
        <v>1651</v>
      </c>
      <c r="D81" s="5"/>
      <c r="E81" s="5"/>
      <c r="F81" s="5"/>
      <c r="G81" s="5">
        <v>3389.4</v>
      </c>
      <c r="H81" s="5">
        <v>258.5</v>
      </c>
      <c r="I81" s="19">
        <f>VLOOKUP("Couche de base",'Taux unitaires'!$B$9:$C$11,2,FALSE)</f>
        <v>200</v>
      </c>
      <c r="J81" s="19">
        <f>VLOOKUP("Revêtement de route",'Taux unitaires'!$B$9:$C$11,2,FALSE)</f>
        <v>101</v>
      </c>
      <c r="K81" s="19">
        <f t="shared" si="13"/>
        <v>677880</v>
      </c>
      <c r="L81" s="19">
        <f t="shared" si="14"/>
        <v>342329.4</v>
      </c>
      <c r="M81" s="19">
        <f t="shared" si="15"/>
        <v>684658.8</v>
      </c>
      <c r="N81" s="19">
        <f t="shared" si="16"/>
        <v>1362538.8</v>
      </c>
      <c r="O81" s="5">
        <f>VLOOKUP(C81,'Durée de vie utile'!$B$15:$E$18,4,FALSE)</f>
        <v>100</v>
      </c>
      <c r="P81" s="5">
        <f>VLOOKUP(C81,'Durée de vie utile'!$B$15:$E$18,3,FALSE)</f>
        <v>80</v>
      </c>
      <c r="Q81" s="5">
        <f>VLOOKUP(C81,'Durée de vie utile'!$B$26:$E$29,4,FALSE)</f>
        <v>40</v>
      </c>
      <c r="R81" s="5">
        <f>VLOOKUP(C81,'Durée de vie utile'!$B$26:$E$29,3,FALSE)</f>
        <v>25</v>
      </c>
      <c r="S81" s="6">
        <f t="shared" si="17"/>
        <v>17031.735000000001</v>
      </c>
      <c r="T81" s="6">
        <f>(N81/(1+'Autres hypothèses'!$D$5))*('Autres hypothèses'!$D$5/(((1+'Autres hypothèses'!$D$5)^Routes!P81-1)))</f>
        <v>11087.625910873247</v>
      </c>
      <c r="U81" s="5">
        <v>1973</v>
      </c>
      <c r="V81" s="5">
        <f t="shared" si="9"/>
        <v>49</v>
      </c>
      <c r="W81" s="1">
        <f t="shared" si="10"/>
        <v>0.61250000000000004</v>
      </c>
      <c r="X81" s="3">
        <f t="shared" si="11"/>
        <v>122.50000000000001</v>
      </c>
      <c r="Y81" s="3">
        <f t="shared" si="12"/>
        <v>77.499999999999986</v>
      </c>
    </row>
    <row r="82" spans="1:25" x14ac:dyDescent="0.25">
      <c r="A82" s="20" t="s">
        <v>552</v>
      </c>
      <c r="B82" s="5" t="s">
        <v>1652</v>
      </c>
      <c r="C82" s="5" t="s">
        <v>1653</v>
      </c>
      <c r="D82" s="5"/>
      <c r="E82" s="5"/>
      <c r="F82" s="5"/>
      <c r="G82" s="5">
        <v>544.1</v>
      </c>
      <c r="H82" s="5">
        <v>45.3</v>
      </c>
      <c r="I82" s="19">
        <f>VLOOKUP("Couche de base",'Taux unitaires'!$B$9:$C$11,2,FALSE)</f>
        <v>200</v>
      </c>
      <c r="J82" s="19">
        <f>VLOOKUP("Revêtement de route",'Taux unitaires'!$B$9:$C$11,2,FALSE)</f>
        <v>101</v>
      </c>
      <c r="K82" s="19">
        <f t="shared" si="13"/>
        <v>108820</v>
      </c>
      <c r="L82" s="19">
        <f t="shared" si="14"/>
        <v>54954.100000000006</v>
      </c>
      <c r="M82" s="19">
        <f t="shared" si="15"/>
        <v>109908.20000000001</v>
      </c>
      <c r="N82" s="19">
        <f t="shared" si="16"/>
        <v>218728.2</v>
      </c>
      <c r="O82" s="5">
        <f>VLOOKUP(C82,'Durée de vie utile'!$B$15:$E$18,4,FALSE)</f>
        <v>125</v>
      </c>
      <c r="P82" s="5">
        <f>VLOOKUP(C82,'Durée de vie utile'!$B$15:$E$18,3,FALSE)</f>
        <v>100</v>
      </c>
      <c r="Q82" s="5">
        <f>VLOOKUP(C82,'Durée de vie utile'!$B$26:$E$29,4,FALSE)</f>
        <v>50</v>
      </c>
      <c r="R82" s="5">
        <f>VLOOKUP(C82,'Durée de vie utile'!$B$26:$E$29,3,FALSE)</f>
        <v>30</v>
      </c>
      <c r="S82" s="6">
        <f t="shared" si="17"/>
        <v>2187.2820000000002</v>
      </c>
      <c r="T82" s="6">
        <f>(N82/(1+'Autres hypothèses'!$D$5))*('Autres hypothèses'!$D$5/(((1+'Autres hypothèses'!$D$5)^Routes!P82-1)))</f>
        <v>1270.3004311673667</v>
      </c>
      <c r="U82" s="5">
        <v>1973</v>
      </c>
      <c r="V82" s="5">
        <f t="shared" si="9"/>
        <v>49</v>
      </c>
      <c r="W82" s="1">
        <f t="shared" si="10"/>
        <v>0.49</v>
      </c>
      <c r="X82" s="3">
        <f t="shared" si="11"/>
        <v>98</v>
      </c>
      <c r="Y82" s="3">
        <f t="shared" si="12"/>
        <v>102</v>
      </c>
    </row>
    <row r="83" spans="1:25" x14ac:dyDescent="0.25">
      <c r="A83" s="20" t="s">
        <v>553</v>
      </c>
      <c r="B83" s="5" t="s">
        <v>1654</v>
      </c>
      <c r="C83" s="5" t="s">
        <v>1655</v>
      </c>
      <c r="D83" s="5"/>
      <c r="E83" s="5"/>
      <c r="F83" s="5"/>
      <c r="G83" s="5">
        <v>2011.37070599</v>
      </c>
      <c r="H83" s="5">
        <v>195.18626967076901</v>
      </c>
      <c r="I83" s="19">
        <f>VLOOKUP("Couche de base",'Taux unitaires'!$B$9:$C$11,2,FALSE)</f>
        <v>200</v>
      </c>
      <c r="J83" s="19">
        <f>VLOOKUP("Revêtement de route",'Taux unitaires'!$B$9:$C$11,2,FALSE)</f>
        <v>101</v>
      </c>
      <c r="K83" s="19">
        <f t="shared" si="13"/>
        <v>402274.141198</v>
      </c>
      <c r="L83" s="19">
        <f t="shared" si="14"/>
        <v>203148.44130499</v>
      </c>
      <c r="M83" s="19">
        <f t="shared" si="15"/>
        <v>406296.88260998001</v>
      </c>
      <c r="N83" s="19">
        <f t="shared" si="16"/>
        <v>808571.02380798</v>
      </c>
      <c r="O83" s="5">
        <f>VLOOKUP(C83,'Durée de vie utile'!$B$15:$E$18,4,FALSE)</f>
        <v>125</v>
      </c>
      <c r="P83" s="5">
        <f>VLOOKUP(C83,'Durée de vie utile'!$B$15:$E$18,3,FALSE)</f>
        <v>100</v>
      </c>
      <c r="Q83" s="5">
        <f>VLOOKUP(C83,'Durée de vie utile'!$B$26:$E$29,4,FALSE)</f>
        <v>50</v>
      </c>
      <c r="R83" s="5">
        <f>VLOOKUP(C83,'Durée de vie utile'!$B$26:$E$29,3,FALSE)</f>
        <v>30</v>
      </c>
      <c r="S83" s="6">
        <f t="shared" si="17"/>
        <v>8085.7102380797996</v>
      </c>
      <c r="T83" s="6">
        <f>(N83/(1+'Autres hypothèses'!$D$5))*('Autres hypothèses'!$D$5/(((1+'Autres hypothèses'!$D$5)^Routes!P83-1)))</f>
        <v>4695.9108161303211</v>
      </c>
      <c r="U83" s="5">
        <v>1973</v>
      </c>
      <c r="V83" s="5">
        <f t="shared" si="9"/>
        <v>49</v>
      </c>
      <c r="W83" s="1">
        <f t="shared" si="10"/>
        <v>0.49</v>
      </c>
      <c r="X83" s="3">
        <f t="shared" si="11"/>
        <v>98</v>
      </c>
      <c r="Y83" s="3">
        <f t="shared" si="12"/>
        <v>102</v>
      </c>
    </row>
    <row r="84" spans="1:25" x14ac:dyDescent="0.25">
      <c r="A84" s="20" t="s">
        <v>554</v>
      </c>
      <c r="B84" s="5" t="s">
        <v>1656</v>
      </c>
      <c r="C84" s="5" t="s">
        <v>1657</v>
      </c>
      <c r="D84" s="5"/>
      <c r="E84" s="5"/>
      <c r="F84" s="5"/>
      <c r="G84" s="5">
        <v>2505.1</v>
      </c>
      <c r="H84" s="5">
        <v>236.1</v>
      </c>
      <c r="I84" s="19">
        <f>VLOOKUP("Couche de base",'Taux unitaires'!$B$9:$C$11,2,FALSE)</f>
        <v>200</v>
      </c>
      <c r="J84" s="19">
        <f>VLOOKUP("Revêtement de route",'Taux unitaires'!$B$9:$C$11,2,FALSE)</f>
        <v>101</v>
      </c>
      <c r="K84" s="19">
        <f t="shared" si="13"/>
        <v>501020</v>
      </c>
      <c r="L84" s="19">
        <f t="shared" si="14"/>
        <v>253015.09999999998</v>
      </c>
      <c r="M84" s="19">
        <f t="shared" si="15"/>
        <v>506030.19999999995</v>
      </c>
      <c r="N84" s="19">
        <f t="shared" si="16"/>
        <v>1007050.2</v>
      </c>
      <c r="O84" s="5">
        <f>VLOOKUP(C84,'Durée de vie utile'!$B$15:$E$18,4,FALSE)</f>
        <v>125</v>
      </c>
      <c r="P84" s="5">
        <f>VLOOKUP(C84,'Durée de vie utile'!$B$15:$E$18,3,FALSE)</f>
        <v>100</v>
      </c>
      <c r="Q84" s="5">
        <f>VLOOKUP(C84,'Durée de vie utile'!$B$26:$E$29,4,FALSE)</f>
        <v>50</v>
      </c>
      <c r="R84" s="5">
        <f>VLOOKUP(C84,'Durée de vie utile'!$B$26:$E$29,3,FALSE)</f>
        <v>30</v>
      </c>
      <c r="S84" s="6">
        <f t="shared" si="17"/>
        <v>10070.502</v>
      </c>
      <c r="T84" s="6">
        <f>(N84/(1+'Autres hypothèses'!$D$5))*('Autres hypothèses'!$D$5/(((1+'Autres hypothèses'!$D$5)^Routes!P84-1)))</f>
        <v>5848.6116708644913</v>
      </c>
      <c r="U84" s="5">
        <v>1973</v>
      </c>
      <c r="V84" s="5">
        <f t="shared" si="9"/>
        <v>49</v>
      </c>
      <c r="W84" s="1">
        <f t="shared" si="10"/>
        <v>0.49</v>
      </c>
      <c r="X84" s="3">
        <f t="shared" si="11"/>
        <v>98</v>
      </c>
      <c r="Y84" s="3">
        <f t="shared" si="12"/>
        <v>102</v>
      </c>
    </row>
    <row r="85" spans="1:25" x14ac:dyDescent="0.25">
      <c r="A85" s="20" t="s">
        <v>555</v>
      </c>
      <c r="B85" s="5" t="s">
        <v>1658</v>
      </c>
      <c r="C85" s="5" t="s">
        <v>1659</v>
      </c>
      <c r="D85" s="5"/>
      <c r="E85" s="5"/>
      <c r="F85" s="5"/>
      <c r="G85" s="5">
        <v>1590.76781501</v>
      </c>
      <c r="H85" s="5">
        <v>151.677861402497</v>
      </c>
      <c r="I85" s="19">
        <f>VLOOKUP("Couche de base",'Taux unitaires'!$B$9:$C$11,2,FALSE)</f>
        <v>200</v>
      </c>
      <c r="J85" s="19">
        <f>VLOOKUP("Revêtement de route",'Taux unitaires'!$B$9:$C$11,2,FALSE)</f>
        <v>101</v>
      </c>
      <c r="K85" s="19">
        <f t="shared" si="13"/>
        <v>318153.56300199998</v>
      </c>
      <c r="L85" s="19">
        <f t="shared" si="14"/>
        <v>160667.54931601</v>
      </c>
      <c r="M85" s="19">
        <f t="shared" si="15"/>
        <v>321335.09863202</v>
      </c>
      <c r="N85" s="19">
        <f t="shared" si="16"/>
        <v>639488.66163402004</v>
      </c>
      <c r="O85" s="5">
        <f>VLOOKUP(C85,'Durée de vie utile'!$B$15:$E$18,4,FALSE)</f>
        <v>125</v>
      </c>
      <c r="P85" s="5">
        <f>VLOOKUP(C85,'Durée de vie utile'!$B$15:$E$18,3,FALSE)</f>
        <v>100</v>
      </c>
      <c r="Q85" s="5">
        <f>VLOOKUP(C85,'Durée de vie utile'!$B$26:$E$29,4,FALSE)</f>
        <v>50</v>
      </c>
      <c r="R85" s="5">
        <f>VLOOKUP(C85,'Durée de vie utile'!$B$26:$E$29,3,FALSE)</f>
        <v>30</v>
      </c>
      <c r="S85" s="6">
        <f t="shared" si="17"/>
        <v>6394.8866163402008</v>
      </c>
      <c r="T85" s="6">
        <f>(N85/(1+'Autres hypothèses'!$D$5))*('Autres hypothèses'!$D$5/(((1+'Autres hypothèses'!$D$5)^Routes!P85-1)))</f>
        <v>3713.9368522227032</v>
      </c>
      <c r="U85" s="5">
        <v>1981</v>
      </c>
      <c r="V85" s="5">
        <f t="shared" si="9"/>
        <v>41</v>
      </c>
      <c r="W85" s="1">
        <f t="shared" si="10"/>
        <v>0.41</v>
      </c>
      <c r="X85" s="3">
        <f t="shared" si="11"/>
        <v>82</v>
      </c>
      <c r="Y85" s="3">
        <f t="shared" si="12"/>
        <v>118</v>
      </c>
    </row>
    <row r="86" spans="1:25" x14ac:dyDescent="0.25">
      <c r="A86" s="20" t="s">
        <v>556</v>
      </c>
      <c r="B86" s="5" t="s">
        <v>1660</v>
      </c>
      <c r="C86" s="5" t="s">
        <v>1661</v>
      </c>
      <c r="D86" s="5"/>
      <c r="E86" s="5"/>
      <c r="F86" s="5"/>
      <c r="G86" s="5">
        <v>758.46703114000002</v>
      </c>
      <c r="H86" s="5">
        <v>85.197666554059396</v>
      </c>
      <c r="I86" s="19">
        <f>VLOOKUP("Couche de base",'Taux unitaires'!$B$9:$C$11,2,FALSE)</f>
        <v>200</v>
      </c>
      <c r="J86" s="19">
        <f>VLOOKUP("Revêtement de route",'Taux unitaires'!$B$9:$C$11,2,FALSE)</f>
        <v>101</v>
      </c>
      <c r="K86" s="19">
        <f t="shared" si="13"/>
        <v>151693.40622800001</v>
      </c>
      <c r="L86" s="19">
        <f t="shared" si="14"/>
        <v>76605.17014514</v>
      </c>
      <c r="M86" s="19">
        <f t="shared" si="15"/>
        <v>153210.34029028</v>
      </c>
      <c r="N86" s="19">
        <f t="shared" si="16"/>
        <v>304903.74651828001</v>
      </c>
      <c r="O86" s="5">
        <f>VLOOKUP(C86,'Durée de vie utile'!$B$15:$E$18,4,FALSE)</f>
        <v>125</v>
      </c>
      <c r="P86" s="5">
        <f>VLOOKUP(C86,'Durée de vie utile'!$B$15:$E$18,3,FALSE)</f>
        <v>100</v>
      </c>
      <c r="Q86" s="5">
        <f>VLOOKUP(C86,'Durée de vie utile'!$B$26:$E$29,4,FALSE)</f>
        <v>50</v>
      </c>
      <c r="R86" s="5">
        <f>VLOOKUP(C86,'Durée de vie utile'!$B$26:$E$29,3,FALSE)</f>
        <v>30</v>
      </c>
      <c r="S86" s="6">
        <f t="shared" si="17"/>
        <v>3049.0374651828001</v>
      </c>
      <c r="T86" s="6">
        <f>(N86/(1+'Autres hypothèses'!$D$5))*('Autres hypothèses'!$D$5/(((1+'Autres hypothèses'!$D$5)^Routes!P86-1)))</f>
        <v>1770.7792624211993</v>
      </c>
      <c r="U86" s="5">
        <v>1973</v>
      </c>
      <c r="V86" s="5">
        <f t="shared" si="9"/>
        <v>49</v>
      </c>
      <c r="W86" s="1">
        <f t="shared" si="10"/>
        <v>0.49</v>
      </c>
      <c r="X86" s="3">
        <f t="shared" si="11"/>
        <v>98</v>
      </c>
      <c r="Y86" s="3">
        <f t="shared" si="12"/>
        <v>102</v>
      </c>
    </row>
    <row r="87" spans="1:25" x14ac:dyDescent="0.25">
      <c r="A87" s="20" t="s">
        <v>557</v>
      </c>
      <c r="B87" s="5" t="s">
        <v>1662</v>
      </c>
      <c r="C87" s="5" t="s">
        <v>1663</v>
      </c>
      <c r="D87" s="5"/>
      <c r="E87" s="5"/>
      <c r="F87" s="5"/>
      <c r="G87" s="5">
        <v>742.08358405000001</v>
      </c>
      <c r="H87" s="5">
        <v>65.607389639443099</v>
      </c>
      <c r="I87" s="19">
        <f>VLOOKUP("Couche de base",'Taux unitaires'!$B$9:$C$11,2,FALSE)</f>
        <v>200</v>
      </c>
      <c r="J87" s="19">
        <f>VLOOKUP("Revêtement de route",'Taux unitaires'!$B$9:$C$11,2,FALSE)</f>
        <v>101</v>
      </c>
      <c r="K87" s="19">
        <f t="shared" si="13"/>
        <v>148416.71681000001</v>
      </c>
      <c r="L87" s="19">
        <f t="shared" si="14"/>
        <v>74950.441989049999</v>
      </c>
      <c r="M87" s="19">
        <f t="shared" si="15"/>
        <v>149900.8839781</v>
      </c>
      <c r="N87" s="19">
        <f t="shared" si="16"/>
        <v>298317.60078810004</v>
      </c>
      <c r="O87" s="5">
        <f>VLOOKUP(C87,'Durée de vie utile'!$B$15:$E$18,4,FALSE)</f>
        <v>125</v>
      </c>
      <c r="P87" s="5">
        <f>VLOOKUP(C87,'Durée de vie utile'!$B$15:$E$18,3,FALSE)</f>
        <v>100</v>
      </c>
      <c r="Q87" s="5">
        <f>VLOOKUP(C87,'Durée de vie utile'!$B$26:$E$29,4,FALSE)</f>
        <v>50</v>
      </c>
      <c r="R87" s="5">
        <f>VLOOKUP(C87,'Durée de vie utile'!$B$26:$E$29,3,FALSE)</f>
        <v>30</v>
      </c>
      <c r="S87" s="6">
        <f t="shared" si="17"/>
        <v>2983.1760078810003</v>
      </c>
      <c r="T87" s="6">
        <f>(N87/(1+'Autres hypothèses'!$D$5))*('Autres hypothèses'!$D$5/(((1+'Autres hypothèses'!$D$5)^Routes!P87-1)))</f>
        <v>1732.5291247582059</v>
      </c>
      <c r="U87" s="5">
        <v>1973</v>
      </c>
      <c r="V87" s="5">
        <f t="shared" si="9"/>
        <v>49</v>
      </c>
      <c r="W87" s="1">
        <f t="shared" si="10"/>
        <v>0.49</v>
      </c>
      <c r="X87" s="3">
        <f t="shared" si="11"/>
        <v>98</v>
      </c>
      <c r="Y87" s="3">
        <f t="shared" si="12"/>
        <v>102</v>
      </c>
    </row>
    <row r="88" spans="1:25" x14ac:dyDescent="0.25">
      <c r="A88" s="20" t="s">
        <v>558</v>
      </c>
      <c r="B88" s="5" t="s">
        <v>1664</v>
      </c>
      <c r="C88" s="5" t="s">
        <v>1665</v>
      </c>
      <c r="D88" s="5"/>
      <c r="E88" s="5"/>
      <c r="F88" s="5"/>
      <c r="G88" s="5">
        <v>3863.24586128999</v>
      </c>
      <c r="H88" s="5">
        <v>333.45911655321203</v>
      </c>
      <c r="I88" s="19">
        <f>VLOOKUP("Couche de base",'Taux unitaires'!$B$9:$C$11,2,FALSE)</f>
        <v>200</v>
      </c>
      <c r="J88" s="19">
        <f>VLOOKUP("Revêtement de route",'Taux unitaires'!$B$9:$C$11,2,FALSE)</f>
        <v>101</v>
      </c>
      <c r="K88" s="19">
        <f t="shared" si="13"/>
        <v>772649.17225799803</v>
      </c>
      <c r="L88" s="19">
        <f t="shared" si="14"/>
        <v>390187.83199028898</v>
      </c>
      <c r="M88" s="19">
        <f t="shared" si="15"/>
        <v>780375.66398057796</v>
      </c>
      <c r="N88" s="19">
        <f t="shared" si="16"/>
        <v>1553024.8362385761</v>
      </c>
      <c r="O88" s="5">
        <f>VLOOKUP(C88,'Durée de vie utile'!$B$15:$E$18,4,FALSE)</f>
        <v>100</v>
      </c>
      <c r="P88" s="5">
        <f>VLOOKUP(C88,'Durée de vie utile'!$B$15:$E$18,3,FALSE)</f>
        <v>80</v>
      </c>
      <c r="Q88" s="5">
        <f>VLOOKUP(C88,'Durée de vie utile'!$B$26:$E$29,4,FALSE)</f>
        <v>40</v>
      </c>
      <c r="R88" s="5">
        <f>VLOOKUP(C88,'Durée de vie utile'!$B$26:$E$29,3,FALSE)</f>
        <v>25</v>
      </c>
      <c r="S88" s="6">
        <f t="shared" si="17"/>
        <v>19412.810452982201</v>
      </c>
      <c r="T88" s="6">
        <f>(N88/(1+'Autres hypothèses'!$D$5))*('Autres hypothèses'!$D$5/(((1+'Autres hypothèses'!$D$5)^Routes!P88-1)))</f>
        <v>12637.701337025055</v>
      </c>
      <c r="U88" s="5">
        <v>1974</v>
      </c>
      <c r="V88" s="5">
        <f t="shared" si="9"/>
        <v>48</v>
      </c>
      <c r="W88" s="1">
        <f t="shared" si="10"/>
        <v>0.6</v>
      </c>
      <c r="X88" s="3">
        <f t="shared" si="11"/>
        <v>120</v>
      </c>
      <c r="Y88" s="3">
        <f t="shared" si="12"/>
        <v>80</v>
      </c>
    </row>
    <row r="89" spans="1:25" x14ac:dyDescent="0.25">
      <c r="A89" s="20" t="s">
        <v>559</v>
      </c>
      <c r="B89" s="5" t="s">
        <v>1666</v>
      </c>
      <c r="C89" s="5" t="s">
        <v>1667</v>
      </c>
      <c r="D89" s="5"/>
      <c r="E89" s="5"/>
      <c r="F89" s="5"/>
      <c r="G89" s="5">
        <v>5863.4</v>
      </c>
      <c r="H89" s="5">
        <v>665.5</v>
      </c>
      <c r="I89" s="19">
        <f>VLOOKUP("Couche de base",'Taux unitaires'!$B$9:$C$11,2,FALSE)</f>
        <v>200</v>
      </c>
      <c r="J89" s="19">
        <f>VLOOKUP("Revêtement de route",'Taux unitaires'!$B$9:$C$11,2,FALSE)</f>
        <v>101</v>
      </c>
      <c r="K89" s="19">
        <f t="shared" si="13"/>
        <v>1172680</v>
      </c>
      <c r="L89" s="19">
        <f t="shared" si="14"/>
        <v>592203.39999999991</v>
      </c>
      <c r="M89" s="19">
        <f t="shared" si="15"/>
        <v>592203.39999999991</v>
      </c>
      <c r="N89" s="19">
        <f t="shared" si="16"/>
        <v>1764883.4</v>
      </c>
      <c r="O89" s="5">
        <f>VLOOKUP(C89,'Durée de vie utile'!$B$15:$E$18,4,FALSE)</f>
        <v>90</v>
      </c>
      <c r="P89" s="5">
        <f>VLOOKUP(C89,'Durée de vie utile'!$B$15:$E$18,3,FALSE)</f>
        <v>60</v>
      </c>
      <c r="Q89" s="5">
        <f>VLOOKUP(C89,'Durée de vie utile'!$B$26:$E$29,4,FALSE)</f>
        <v>30</v>
      </c>
      <c r="R89" s="5">
        <f>VLOOKUP(C89,'Durée de vie utile'!$B$26:$E$29,3,FALSE)</f>
        <v>25</v>
      </c>
      <c r="S89" s="6">
        <f t="shared" si="17"/>
        <v>29414.723333333332</v>
      </c>
      <c r="T89" s="6">
        <f>(N89/(1+'Autres hypothèses'!$D$5))*('Autres hypothèses'!$D$5/(((1+'Autres hypothèses'!$D$5)^Routes!P89-1)))</f>
        <v>21396.061842823314</v>
      </c>
      <c r="U89" s="5">
        <v>1975</v>
      </c>
      <c r="V89" s="5">
        <f t="shared" si="9"/>
        <v>47</v>
      </c>
      <c r="W89" s="1">
        <f t="shared" si="10"/>
        <v>0.78333333333333333</v>
      </c>
      <c r="X89" s="3">
        <f t="shared" si="11"/>
        <v>156.66666666666666</v>
      </c>
      <c r="Y89" s="3">
        <f t="shared" si="12"/>
        <v>43.333333333333343</v>
      </c>
    </row>
    <row r="90" spans="1:25" x14ac:dyDescent="0.25">
      <c r="A90" s="20" t="s">
        <v>560</v>
      </c>
      <c r="B90" s="5" t="s">
        <v>1668</v>
      </c>
      <c r="C90" s="5" t="s">
        <v>1669</v>
      </c>
      <c r="D90" s="5"/>
      <c r="E90" s="5"/>
      <c r="F90" s="5"/>
      <c r="G90" s="5">
        <v>708</v>
      </c>
      <c r="H90" s="5">
        <v>52.4</v>
      </c>
      <c r="I90" s="19">
        <f>VLOOKUP("Couche de base",'Taux unitaires'!$B$9:$C$11,2,FALSE)</f>
        <v>200</v>
      </c>
      <c r="J90" s="19">
        <f>VLOOKUP("Revêtement de route",'Taux unitaires'!$B$9:$C$11,2,FALSE)</f>
        <v>101</v>
      </c>
      <c r="K90" s="19">
        <f t="shared" si="13"/>
        <v>141600</v>
      </c>
      <c r="L90" s="19">
        <f t="shared" si="14"/>
        <v>71508</v>
      </c>
      <c r="M90" s="19">
        <f t="shared" si="15"/>
        <v>143016</v>
      </c>
      <c r="N90" s="19">
        <f t="shared" si="16"/>
        <v>284616</v>
      </c>
      <c r="O90" s="5">
        <f>VLOOKUP(C90,'Durée de vie utile'!$B$15:$E$18,4,FALSE)</f>
        <v>125</v>
      </c>
      <c r="P90" s="5">
        <f>VLOOKUP(C90,'Durée de vie utile'!$B$15:$E$18,3,FALSE)</f>
        <v>100</v>
      </c>
      <c r="Q90" s="5">
        <f>VLOOKUP(C90,'Durée de vie utile'!$B$26:$E$29,4,FALSE)</f>
        <v>50</v>
      </c>
      <c r="R90" s="5">
        <f>VLOOKUP(C90,'Durée de vie utile'!$B$26:$E$29,3,FALSE)</f>
        <v>30</v>
      </c>
      <c r="S90" s="6">
        <f t="shared" si="17"/>
        <v>2846.16</v>
      </c>
      <c r="T90" s="6">
        <f>(N90/(1+'Autres hypothèses'!$D$5))*('Autres hypothèses'!$D$5/(((1+'Autres hypothèses'!$D$5)^Routes!P90-1)))</f>
        <v>1652.9547974021236</v>
      </c>
      <c r="U90" s="5">
        <v>1976</v>
      </c>
      <c r="V90" s="5">
        <f t="shared" si="9"/>
        <v>46</v>
      </c>
      <c r="W90" s="1">
        <f t="shared" si="10"/>
        <v>0.46</v>
      </c>
      <c r="X90" s="3">
        <f t="shared" si="11"/>
        <v>92</v>
      </c>
      <c r="Y90" s="3">
        <f t="shared" si="12"/>
        <v>108</v>
      </c>
    </row>
    <row r="91" spans="1:25" x14ac:dyDescent="0.25">
      <c r="A91" s="20" t="s">
        <v>561</v>
      </c>
      <c r="B91" s="5" t="s">
        <v>1670</v>
      </c>
      <c r="C91" s="5" t="s">
        <v>1671</v>
      </c>
      <c r="D91" s="5"/>
      <c r="E91" s="5"/>
      <c r="F91" s="5"/>
      <c r="G91" s="5">
        <v>1142.8801430799899</v>
      </c>
      <c r="H91" s="5">
        <v>99.433603951725402</v>
      </c>
      <c r="I91" s="19">
        <f>VLOOKUP("Couche de base",'Taux unitaires'!$B$9:$C$11,2,FALSE)</f>
        <v>200</v>
      </c>
      <c r="J91" s="19">
        <f>VLOOKUP("Revêtement de route",'Taux unitaires'!$B$9:$C$11,2,FALSE)</f>
        <v>101</v>
      </c>
      <c r="K91" s="19">
        <f t="shared" si="13"/>
        <v>228576.02861599799</v>
      </c>
      <c r="L91" s="19">
        <f t="shared" si="14"/>
        <v>115430.89445107899</v>
      </c>
      <c r="M91" s="19">
        <f t="shared" si="15"/>
        <v>230861.78890215798</v>
      </c>
      <c r="N91" s="19">
        <f t="shared" si="16"/>
        <v>459437.81751815596</v>
      </c>
      <c r="O91" s="5">
        <f>VLOOKUP(C91,'Durée de vie utile'!$B$15:$E$18,4,FALSE)</f>
        <v>125</v>
      </c>
      <c r="P91" s="5">
        <f>VLOOKUP(C91,'Durée de vie utile'!$B$15:$E$18,3,FALSE)</f>
        <v>100</v>
      </c>
      <c r="Q91" s="5">
        <f>VLOOKUP(C91,'Durée de vie utile'!$B$26:$E$29,4,FALSE)</f>
        <v>50</v>
      </c>
      <c r="R91" s="5">
        <f>VLOOKUP(C91,'Durée de vie utile'!$B$26:$E$29,3,FALSE)</f>
        <v>30</v>
      </c>
      <c r="S91" s="6">
        <f t="shared" si="17"/>
        <v>4594.3781751815595</v>
      </c>
      <c r="T91" s="6">
        <f>(N91/(1+'Autres hypothèses'!$D$5))*('Autres hypothèses'!$D$5/(((1+'Autres hypothèses'!$D$5)^Routes!P91-1)))</f>
        <v>2668.2616036153881</v>
      </c>
      <c r="U91" s="5">
        <v>1981</v>
      </c>
      <c r="V91" s="5">
        <f t="shared" si="9"/>
        <v>41</v>
      </c>
      <c r="W91" s="1">
        <f t="shared" si="10"/>
        <v>0.41</v>
      </c>
      <c r="X91" s="3">
        <f t="shared" si="11"/>
        <v>82</v>
      </c>
      <c r="Y91" s="3">
        <f t="shared" si="12"/>
        <v>118</v>
      </c>
    </row>
    <row r="92" spans="1:25" x14ac:dyDescent="0.25">
      <c r="A92" s="20" t="s">
        <v>562</v>
      </c>
      <c r="B92" s="5" t="s">
        <v>1672</v>
      </c>
      <c r="C92" s="5" t="s">
        <v>1673</v>
      </c>
      <c r="D92" s="5"/>
      <c r="E92" s="5"/>
      <c r="F92" s="5"/>
      <c r="G92" s="5">
        <v>2065.7970608400001</v>
      </c>
      <c r="H92" s="5">
        <v>184.62709426977</v>
      </c>
      <c r="I92" s="19">
        <f>VLOOKUP("Couche de base",'Taux unitaires'!$B$9:$C$11,2,FALSE)</f>
        <v>200</v>
      </c>
      <c r="J92" s="19">
        <f>VLOOKUP("Revêtement de route",'Taux unitaires'!$B$9:$C$11,2,FALSE)</f>
        <v>101</v>
      </c>
      <c r="K92" s="19">
        <f t="shared" si="13"/>
        <v>413159.41216800001</v>
      </c>
      <c r="L92" s="19">
        <f t="shared" si="14"/>
        <v>208645.50314484001</v>
      </c>
      <c r="M92" s="19">
        <f t="shared" si="15"/>
        <v>417291.00628968002</v>
      </c>
      <c r="N92" s="19">
        <f t="shared" si="16"/>
        <v>830450.41845768003</v>
      </c>
      <c r="O92" s="5">
        <f>VLOOKUP(C92,'Durée de vie utile'!$B$15:$E$18,4,FALSE)</f>
        <v>125</v>
      </c>
      <c r="P92" s="5">
        <f>VLOOKUP(C92,'Durée de vie utile'!$B$15:$E$18,3,FALSE)</f>
        <v>100</v>
      </c>
      <c r="Q92" s="5">
        <f>VLOOKUP(C92,'Durée de vie utile'!$B$26:$E$29,4,FALSE)</f>
        <v>50</v>
      </c>
      <c r="R92" s="5">
        <f>VLOOKUP(C92,'Durée de vie utile'!$B$26:$E$29,3,FALSE)</f>
        <v>30</v>
      </c>
      <c r="S92" s="6">
        <f t="shared" si="17"/>
        <v>8304.504184576801</v>
      </c>
      <c r="T92" s="6">
        <f>(N92/(1+'Autres hypothèses'!$D$5))*('Autres hypothèses'!$D$5/(((1+'Autres hypothèses'!$D$5)^Routes!P92-1)))</f>
        <v>4822.9790426196114</v>
      </c>
      <c r="U92" s="5">
        <v>1976</v>
      </c>
      <c r="V92" s="5">
        <f t="shared" si="9"/>
        <v>46</v>
      </c>
      <c r="W92" s="1">
        <f t="shared" si="10"/>
        <v>0.46</v>
      </c>
      <c r="X92" s="3">
        <f t="shared" si="11"/>
        <v>92</v>
      </c>
      <c r="Y92" s="3">
        <f t="shared" si="12"/>
        <v>108</v>
      </c>
    </row>
    <row r="93" spans="1:25" x14ac:dyDescent="0.25">
      <c r="A93" s="20" t="s">
        <v>563</v>
      </c>
      <c r="B93" s="5" t="s">
        <v>1674</v>
      </c>
      <c r="C93" s="5" t="s">
        <v>1675</v>
      </c>
      <c r="D93" s="5"/>
      <c r="E93" s="5"/>
      <c r="F93" s="5"/>
      <c r="G93" s="5">
        <v>990.25351020999904</v>
      </c>
      <c r="H93" s="5">
        <v>89.973172126810596</v>
      </c>
      <c r="I93" s="19">
        <f>VLOOKUP("Couche de base",'Taux unitaires'!$B$9:$C$11,2,FALSE)</f>
        <v>200</v>
      </c>
      <c r="J93" s="19">
        <f>VLOOKUP("Revêtement de route",'Taux unitaires'!$B$9:$C$11,2,FALSE)</f>
        <v>101</v>
      </c>
      <c r="K93" s="19">
        <f t="shared" si="13"/>
        <v>198050.70204199982</v>
      </c>
      <c r="L93" s="19">
        <f t="shared" si="14"/>
        <v>100015.6045312099</v>
      </c>
      <c r="M93" s="19">
        <f t="shared" si="15"/>
        <v>200031.2090624198</v>
      </c>
      <c r="N93" s="19">
        <f t="shared" si="16"/>
        <v>398081.91110441962</v>
      </c>
      <c r="O93" s="5">
        <f>VLOOKUP(C93,'Durée de vie utile'!$B$15:$E$18,4,FALSE)</f>
        <v>100</v>
      </c>
      <c r="P93" s="5">
        <f>VLOOKUP(C93,'Durée de vie utile'!$B$15:$E$18,3,FALSE)</f>
        <v>80</v>
      </c>
      <c r="Q93" s="5">
        <f>VLOOKUP(C93,'Durée de vie utile'!$B$26:$E$29,4,FALSE)</f>
        <v>40</v>
      </c>
      <c r="R93" s="5">
        <f>VLOOKUP(C93,'Durée de vie utile'!$B$26:$E$29,3,FALSE)</f>
        <v>25</v>
      </c>
      <c r="S93" s="6">
        <f t="shared" si="17"/>
        <v>4976.0238888052454</v>
      </c>
      <c r="T93" s="6">
        <f>(N93/(1+'Autres hypothèses'!$D$5))*('Autres hypothèses'!$D$5/(((1+'Autres hypothèses'!$D$5)^Routes!P93-1)))</f>
        <v>3239.3817425318848</v>
      </c>
      <c r="U93" s="5">
        <v>1981</v>
      </c>
      <c r="V93" s="5">
        <f t="shared" si="9"/>
        <v>41</v>
      </c>
      <c r="W93" s="1">
        <f t="shared" si="10"/>
        <v>0.51249999999999996</v>
      </c>
      <c r="X93" s="3">
        <f t="shared" si="11"/>
        <v>102.49999999999999</v>
      </c>
      <c r="Y93" s="3">
        <f t="shared" si="12"/>
        <v>97.500000000000014</v>
      </c>
    </row>
    <row r="94" spans="1:25" x14ac:dyDescent="0.25">
      <c r="A94" s="20" t="s">
        <v>564</v>
      </c>
      <c r="B94" s="5" t="s">
        <v>1676</v>
      </c>
      <c r="C94" s="5" t="s">
        <v>1677</v>
      </c>
      <c r="D94" s="5"/>
      <c r="E94" s="5"/>
      <c r="F94" s="5"/>
      <c r="G94" s="5">
        <v>762.22375157999898</v>
      </c>
      <c r="H94" s="5">
        <v>102.884522782117</v>
      </c>
      <c r="I94" s="19">
        <f>VLOOKUP("Couche de base",'Taux unitaires'!$B$9:$C$11,2,FALSE)</f>
        <v>200</v>
      </c>
      <c r="J94" s="19">
        <f>VLOOKUP("Revêtement de route",'Taux unitaires'!$B$9:$C$11,2,FALSE)</f>
        <v>101</v>
      </c>
      <c r="K94" s="19">
        <f t="shared" si="13"/>
        <v>152444.75031599979</v>
      </c>
      <c r="L94" s="19">
        <f t="shared" si="14"/>
        <v>76984.598909579901</v>
      </c>
      <c r="M94" s="19">
        <f t="shared" si="15"/>
        <v>153969.1978191598</v>
      </c>
      <c r="N94" s="19">
        <f t="shared" si="16"/>
        <v>306413.94813515956</v>
      </c>
      <c r="O94" s="5">
        <f>VLOOKUP(C94,'Durée de vie utile'!$B$15:$E$18,4,FALSE)</f>
        <v>125</v>
      </c>
      <c r="P94" s="5">
        <f>VLOOKUP(C94,'Durée de vie utile'!$B$15:$E$18,3,FALSE)</f>
        <v>100</v>
      </c>
      <c r="Q94" s="5">
        <f>VLOOKUP(C94,'Durée de vie utile'!$B$26:$E$29,4,FALSE)</f>
        <v>50</v>
      </c>
      <c r="R94" s="5">
        <f>VLOOKUP(C94,'Durée de vie utile'!$B$26:$E$29,3,FALSE)</f>
        <v>30</v>
      </c>
      <c r="S94" s="6">
        <f t="shared" si="17"/>
        <v>3064.1394813515958</v>
      </c>
      <c r="T94" s="6">
        <f>(N94/(1+'Autres hypothèses'!$D$5))*('Autres hypothèses'!$D$5/(((1+'Autres hypothèses'!$D$5)^Routes!P94-1)))</f>
        <v>1779.5500097005704</v>
      </c>
      <c r="U94" s="5">
        <v>1976</v>
      </c>
      <c r="V94" s="5">
        <f t="shared" si="9"/>
        <v>46</v>
      </c>
      <c r="W94" s="1">
        <f t="shared" si="10"/>
        <v>0.46</v>
      </c>
      <c r="X94" s="3">
        <f t="shared" si="11"/>
        <v>92</v>
      </c>
      <c r="Y94" s="3">
        <f t="shared" si="12"/>
        <v>108</v>
      </c>
    </row>
    <row r="95" spans="1:25" x14ac:dyDescent="0.25">
      <c r="A95" s="20" t="s">
        <v>565</v>
      </c>
      <c r="B95" s="5" t="s">
        <v>1678</v>
      </c>
      <c r="C95" s="5" t="s">
        <v>1679</v>
      </c>
      <c r="D95" s="5"/>
      <c r="E95" s="5"/>
      <c r="F95" s="5"/>
      <c r="G95" s="5">
        <v>571.70000000000005</v>
      </c>
      <c r="H95" s="5">
        <v>63.5</v>
      </c>
      <c r="I95" s="19">
        <f>VLOOKUP("Couche de base",'Taux unitaires'!$B$9:$C$11,2,FALSE)</f>
        <v>200</v>
      </c>
      <c r="J95" s="19">
        <f>VLOOKUP("Revêtement de route",'Taux unitaires'!$B$9:$C$11,2,FALSE)</f>
        <v>101</v>
      </c>
      <c r="K95" s="19">
        <f t="shared" si="13"/>
        <v>114340.00000000001</v>
      </c>
      <c r="L95" s="19">
        <f t="shared" si="14"/>
        <v>57741.700000000004</v>
      </c>
      <c r="M95" s="19">
        <f t="shared" si="15"/>
        <v>115483.40000000001</v>
      </c>
      <c r="N95" s="19">
        <f t="shared" si="16"/>
        <v>229823.40000000002</v>
      </c>
      <c r="O95" s="5">
        <f>VLOOKUP(C95,'Durée de vie utile'!$B$15:$E$18,4,FALSE)</f>
        <v>125</v>
      </c>
      <c r="P95" s="5">
        <f>VLOOKUP(C95,'Durée de vie utile'!$B$15:$E$18,3,FALSE)</f>
        <v>100</v>
      </c>
      <c r="Q95" s="5">
        <f>VLOOKUP(C95,'Durée de vie utile'!$B$26:$E$29,4,FALSE)</f>
        <v>50</v>
      </c>
      <c r="R95" s="5">
        <f>VLOOKUP(C95,'Durée de vie utile'!$B$26:$E$29,3,FALSE)</f>
        <v>30</v>
      </c>
      <c r="S95" s="6">
        <f t="shared" si="17"/>
        <v>2298.2340000000004</v>
      </c>
      <c r="T95" s="6">
        <f>(N95/(1+'Autres hypothèses'!$D$5))*('Autres hypothèses'!$D$5/(((1+'Autres hypothèses'!$D$5)^Routes!P95-1)))</f>
        <v>1334.7376520830428</v>
      </c>
      <c r="U95" s="5">
        <v>1976</v>
      </c>
      <c r="V95" s="5">
        <f t="shared" si="9"/>
        <v>46</v>
      </c>
      <c r="W95" s="1">
        <f t="shared" si="10"/>
        <v>0.46</v>
      </c>
      <c r="X95" s="3">
        <f t="shared" si="11"/>
        <v>92</v>
      </c>
      <c r="Y95" s="3">
        <f t="shared" si="12"/>
        <v>108</v>
      </c>
    </row>
    <row r="96" spans="1:25" x14ac:dyDescent="0.25">
      <c r="A96" s="20" t="s">
        <v>566</v>
      </c>
      <c r="B96" s="5" t="s">
        <v>1680</v>
      </c>
      <c r="C96" s="5" t="s">
        <v>1681</v>
      </c>
      <c r="D96" s="5"/>
      <c r="E96" s="5"/>
      <c r="F96" s="5"/>
      <c r="G96" s="5">
        <v>3596.5155647699899</v>
      </c>
      <c r="H96" s="5">
        <v>312.74048389324099</v>
      </c>
      <c r="I96" s="19">
        <f>VLOOKUP("Couche de base",'Taux unitaires'!$B$9:$C$11,2,FALSE)</f>
        <v>200</v>
      </c>
      <c r="J96" s="19">
        <f>VLOOKUP("Revêtement de route",'Taux unitaires'!$B$9:$C$11,2,FALSE)</f>
        <v>101</v>
      </c>
      <c r="K96" s="19">
        <f t="shared" si="13"/>
        <v>719303.11295399792</v>
      </c>
      <c r="L96" s="19">
        <f t="shared" si="14"/>
        <v>363248.07204176899</v>
      </c>
      <c r="M96" s="19">
        <f t="shared" si="15"/>
        <v>726496.14408353798</v>
      </c>
      <c r="N96" s="19">
        <f t="shared" si="16"/>
        <v>1445799.2570375358</v>
      </c>
      <c r="O96" s="5">
        <f>VLOOKUP(C96,'Durée de vie utile'!$B$15:$E$18,4,FALSE)</f>
        <v>100</v>
      </c>
      <c r="P96" s="5">
        <f>VLOOKUP(C96,'Durée de vie utile'!$B$15:$E$18,3,FALSE)</f>
        <v>80</v>
      </c>
      <c r="Q96" s="5">
        <f>VLOOKUP(C96,'Durée de vie utile'!$B$26:$E$29,4,FALSE)</f>
        <v>40</v>
      </c>
      <c r="R96" s="5">
        <f>VLOOKUP(C96,'Durée de vie utile'!$B$26:$E$29,3,FALSE)</f>
        <v>25</v>
      </c>
      <c r="S96" s="6">
        <f t="shared" si="17"/>
        <v>18072.490712969196</v>
      </c>
      <c r="T96" s="6">
        <f>(N96/(1+'Autres hypothèses'!$D$5))*('Autres hypothèses'!$D$5/(((1+'Autres hypothèses'!$D$5)^Routes!P96-1)))</f>
        <v>11765.155828406991</v>
      </c>
      <c r="U96" s="5">
        <v>1976</v>
      </c>
      <c r="V96" s="5">
        <f t="shared" si="9"/>
        <v>46</v>
      </c>
      <c r="W96" s="1">
        <f t="shared" si="10"/>
        <v>0.57499999999999996</v>
      </c>
      <c r="X96" s="3">
        <f t="shared" si="11"/>
        <v>114.99999999999999</v>
      </c>
      <c r="Y96" s="3">
        <f t="shared" si="12"/>
        <v>85.000000000000014</v>
      </c>
    </row>
    <row r="97" spans="1:25" x14ac:dyDescent="0.25">
      <c r="A97" s="20" t="s">
        <v>567</v>
      </c>
      <c r="B97" s="5" t="s">
        <v>1682</v>
      </c>
      <c r="C97" s="5" t="s">
        <v>1683</v>
      </c>
      <c r="D97" s="5"/>
      <c r="E97" s="5"/>
      <c r="F97" s="5"/>
      <c r="G97" s="5">
        <v>276.89999999999998</v>
      </c>
      <c r="H97" s="5">
        <v>40.700000000000003</v>
      </c>
      <c r="I97" s="19">
        <f>VLOOKUP("Couche de base",'Taux unitaires'!$B$9:$C$11,2,FALSE)</f>
        <v>200</v>
      </c>
      <c r="J97" s="19">
        <f>VLOOKUP("Revêtement de route",'Taux unitaires'!$B$9:$C$11,2,FALSE)</f>
        <v>101</v>
      </c>
      <c r="K97" s="19">
        <f t="shared" si="13"/>
        <v>55379.999999999993</v>
      </c>
      <c r="L97" s="19">
        <f t="shared" si="14"/>
        <v>27966.899999999998</v>
      </c>
      <c r="M97" s="19">
        <f t="shared" si="15"/>
        <v>55933.799999999996</v>
      </c>
      <c r="N97" s="19">
        <f t="shared" si="16"/>
        <v>111313.79999999999</v>
      </c>
      <c r="O97" s="5">
        <f>VLOOKUP(C97,'Durée de vie utile'!$B$15:$E$18,4,FALSE)</f>
        <v>125</v>
      </c>
      <c r="P97" s="5">
        <f>VLOOKUP(C97,'Durée de vie utile'!$B$15:$E$18,3,FALSE)</f>
        <v>100</v>
      </c>
      <c r="Q97" s="5">
        <f>VLOOKUP(C97,'Durée de vie utile'!$B$26:$E$29,4,FALSE)</f>
        <v>50</v>
      </c>
      <c r="R97" s="5">
        <f>VLOOKUP(C97,'Durée de vie utile'!$B$26:$E$29,3,FALSE)</f>
        <v>30</v>
      </c>
      <c r="S97" s="6">
        <f t="shared" si="17"/>
        <v>1113.1379999999999</v>
      </c>
      <c r="T97" s="6">
        <f>(N97/(1+'Autres hypothèses'!$D$5))*('Autres hypothèses'!$D$5/(((1+'Autres hypothèses'!$D$5)^Routes!P97-1)))</f>
        <v>646.47342288227117</v>
      </c>
      <c r="U97" s="5">
        <v>1976</v>
      </c>
      <c r="V97" s="5">
        <f t="shared" si="9"/>
        <v>46</v>
      </c>
      <c r="W97" s="1">
        <f t="shared" si="10"/>
        <v>0.46</v>
      </c>
      <c r="X97" s="3">
        <f t="shared" si="11"/>
        <v>92</v>
      </c>
      <c r="Y97" s="3">
        <f t="shared" si="12"/>
        <v>108</v>
      </c>
    </row>
    <row r="98" spans="1:25" x14ac:dyDescent="0.25">
      <c r="A98" s="20" t="s">
        <v>568</v>
      </c>
      <c r="B98" s="5" t="s">
        <v>1684</v>
      </c>
      <c r="C98" s="5" t="s">
        <v>1685</v>
      </c>
      <c r="D98" s="5"/>
      <c r="E98" s="5"/>
      <c r="F98" s="5"/>
      <c r="G98" s="5">
        <v>3086.3</v>
      </c>
      <c r="H98" s="5">
        <v>294.3</v>
      </c>
      <c r="I98" s="19">
        <f>VLOOKUP("Couche de base",'Taux unitaires'!$B$9:$C$11,2,FALSE)</f>
        <v>200</v>
      </c>
      <c r="J98" s="19">
        <f>VLOOKUP("Revêtement de route",'Taux unitaires'!$B$9:$C$11,2,FALSE)</f>
        <v>101</v>
      </c>
      <c r="K98" s="19">
        <f t="shared" si="13"/>
        <v>617260</v>
      </c>
      <c r="L98" s="19">
        <f t="shared" si="14"/>
        <v>311716.30000000005</v>
      </c>
      <c r="M98" s="19">
        <f t="shared" si="15"/>
        <v>623432.60000000009</v>
      </c>
      <c r="N98" s="19">
        <f t="shared" si="16"/>
        <v>1240692.6000000001</v>
      </c>
      <c r="O98" s="5">
        <f>VLOOKUP(C98,'Durée de vie utile'!$B$15:$E$18,4,FALSE)</f>
        <v>100</v>
      </c>
      <c r="P98" s="5">
        <f>VLOOKUP(C98,'Durée de vie utile'!$B$15:$E$18,3,FALSE)</f>
        <v>80</v>
      </c>
      <c r="Q98" s="5">
        <f>VLOOKUP(C98,'Durée de vie utile'!$B$26:$E$29,4,FALSE)</f>
        <v>40</v>
      </c>
      <c r="R98" s="5">
        <f>VLOOKUP(C98,'Durée de vie utile'!$B$26:$E$29,3,FALSE)</f>
        <v>25</v>
      </c>
      <c r="S98" s="6">
        <f t="shared" si="17"/>
        <v>15508.657500000001</v>
      </c>
      <c r="T98" s="6">
        <f>(N98/(1+'Autres hypothèses'!$D$5))*('Autres hypothèses'!$D$5/(((1+'Autres hypothèses'!$D$5)^Routes!P98-1)))</f>
        <v>10096.105460768305</v>
      </c>
      <c r="U98" s="5">
        <v>1974</v>
      </c>
      <c r="V98" s="5">
        <f t="shared" si="9"/>
        <v>48</v>
      </c>
      <c r="W98" s="1">
        <f t="shared" si="10"/>
        <v>0.6</v>
      </c>
      <c r="X98" s="3">
        <f t="shared" si="11"/>
        <v>120</v>
      </c>
      <c r="Y98" s="3">
        <f t="shared" si="12"/>
        <v>80</v>
      </c>
    </row>
    <row r="99" spans="1:25" x14ac:dyDescent="0.25">
      <c r="A99" s="20" t="s">
        <v>569</v>
      </c>
      <c r="B99" s="5" t="s">
        <v>1686</v>
      </c>
      <c r="C99" s="5" t="s">
        <v>1687</v>
      </c>
      <c r="D99" s="5"/>
      <c r="E99" s="5"/>
      <c r="F99" s="5"/>
      <c r="G99" s="5">
        <v>288.7</v>
      </c>
      <c r="H99" s="5">
        <v>22.7</v>
      </c>
      <c r="I99" s="19">
        <f>VLOOKUP("Couche de base",'Taux unitaires'!$B$9:$C$11,2,FALSE)</f>
        <v>200</v>
      </c>
      <c r="J99" s="19">
        <f>VLOOKUP("Revêtement de route",'Taux unitaires'!$B$9:$C$11,2,FALSE)</f>
        <v>101</v>
      </c>
      <c r="K99" s="19">
        <f t="shared" si="13"/>
        <v>57740</v>
      </c>
      <c r="L99" s="19">
        <f t="shared" si="14"/>
        <v>29158.699999999997</v>
      </c>
      <c r="M99" s="19">
        <f t="shared" si="15"/>
        <v>58317.399999999994</v>
      </c>
      <c r="N99" s="19">
        <f t="shared" si="16"/>
        <v>116057.4</v>
      </c>
      <c r="O99" s="5">
        <f>VLOOKUP(C99,'Durée de vie utile'!$B$15:$E$18,4,FALSE)</f>
        <v>125</v>
      </c>
      <c r="P99" s="5">
        <f>VLOOKUP(C99,'Durée de vie utile'!$B$15:$E$18,3,FALSE)</f>
        <v>100</v>
      </c>
      <c r="Q99" s="5">
        <f>VLOOKUP(C99,'Durée de vie utile'!$B$26:$E$29,4,FALSE)</f>
        <v>50</v>
      </c>
      <c r="R99" s="5">
        <f>VLOOKUP(C99,'Durée de vie utile'!$B$26:$E$29,3,FALSE)</f>
        <v>30</v>
      </c>
      <c r="S99" s="6">
        <f t="shared" si="17"/>
        <v>1160.5739999999998</v>
      </c>
      <c r="T99" s="6">
        <f>(N99/(1+'Autres hypothèses'!$D$5))*('Autres hypothèses'!$D$5/(((1+'Autres hypothèses'!$D$5)^Routes!P99-1)))</f>
        <v>674.0226695056399</v>
      </c>
      <c r="U99" s="5">
        <v>1981</v>
      </c>
      <c r="V99" s="5">
        <f t="shared" si="9"/>
        <v>41</v>
      </c>
      <c r="W99" s="1">
        <f t="shared" si="10"/>
        <v>0.41</v>
      </c>
      <c r="X99" s="3">
        <f t="shared" si="11"/>
        <v>82</v>
      </c>
      <c r="Y99" s="3">
        <f t="shared" si="12"/>
        <v>118</v>
      </c>
    </row>
    <row r="100" spans="1:25" x14ac:dyDescent="0.25">
      <c r="A100" s="20" t="s">
        <v>570</v>
      </c>
      <c r="B100" s="5" t="s">
        <v>1688</v>
      </c>
      <c r="C100" s="5" t="s">
        <v>1689</v>
      </c>
      <c r="D100" s="5"/>
      <c r="E100" s="5"/>
      <c r="F100" s="5"/>
      <c r="G100" s="5">
        <v>911.2</v>
      </c>
      <c r="H100" s="5">
        <v>75.900000000000006</v>
      </c>
      <c r="I100" s="19">
        <f>VLOOKUP("Couche de base",'Taux unitaires'!$B$9:$C$11,2,FALSE)</f>
        <v>200</v>
      </c>
      <c r="J100" s="19">
        <f>VLOOKUP("Revêtement de route",'Taux unitaires'!$B$9:$C$11,2,FALSE)</f>
        <v>101</v>
      </c>
      <c r="K100" s="19">
        <f t="shared" si="13"/>
        <v>182240</v>
      </c>
      <c r="L100" s="19">
        <f t="shared" si="14"/>
        <v>92031.200000000012</v>
      </c>
      <c r="M100" s="19">
        <f t="shared" si="15"/>
        <v>184062.40000000002</v>
      </c>
      <c r="N100" s="19">
        <f t="shared" si="16"/>
        <v>366302.4</v>
      </c>
      <c r="O100" s="5">
        <f>VLOOKUP(C100,'Durée de vie utile'!$B$15:$E$18,4,FALSE)</f>
        <v>125</v>
      </c>
      <c r="P100" s="5">
        <f>VLOOKUP(C100,'Durée de vie utile'!$B$15:$E$18,3,FALSE)</f>
        <v>100</v>
      </c>
      <c r="Q100" s="5">
        <f>VLOOKUP(C100,'Durée de vie utile'!$B$26:$E$29,4,FALSE)</f>
        <v>50</v>
      </c>
      <c r="R100" s="5">
        <f>VLOOKUP(C100,'Durée de vie utile'!$B$26:$E$29,3,FALSE)</f>
        <v>30</v>
      </c>
      <c r="S100" s="6">
        <f t="shared" si="17"/>
        <v>3663.0240000000003</v>
      </c>
      <c r="T100" s="6">
        <f>(N100/(1+'Autres hypothèses'!$D$5))*('Autres hypothèses'!$D$5/(((1+'Autres hypothèses'!$D$5)^Routes!P100-1)))</f>
        <v>2127.3621629842023</v>
      </c>
      <c r="U100" s="5">
        <v>1974</v>
      </c>
      <c r="V100" s="5">
        <f t="shared" si="9"/>
        <v>48</v>
      </c>
      <c r="W100" s="1">
        <f t="shared" si="10"/>
        <v>0.48</v>
      </c>
      <c r="X100" s="3">
        <f t="shared" si="11"/>
        <v>96</v>
      </c>
      <c r="Y100" s="3">
        <f t="shared" si="12"/>
        <v>104</v>
      </c>
    </row>
    <row r="101" spans="1:25" x14ac:dyDescent="0.25">
      <c r="A101" s="20" t="s">
        <v>571</v>
      </c>
      <c r="B101" s="5" t="s">
        <v>1690</v>
      </c>
      <c r="C101" s="5" t="s">
        <v>1691</v>
      </c>
      <c r="D101" s="5"/>
      <c r="E101" s="5"/>
      <c r="F101" s="5"/>
      <c r="G101" s="5">
        <v>1771.1</v>
      </c>
      <c r="H101" s="5">
        <v>134.19999999999999</v>
      </c>
      <c r="I101" s="19">
        <f>VLOOKUP("Couche de base",'Taux unitaires'!$B$9:$C$11,2,FALSE)</f>
        <v>200</v>
      </c>
      <c r="J101" s="19">
        <f>VLOOKUP("Revêtement de route",'Taux unitaires'!$B$9:$C$11,2,FALSE)</f>
        <v>101</v>
      </c>
      <c r="K101" s="19">
        <f t="shared" si="13"/>
        <v>354220</v>
      </c>
      <c r="L101" s="19">
        <f t="shared" si="14"/>
        <v>178881.09999999998</v>
      </c>
      <c r="M101" s="19">
        <f t="shared" si="15"/>
        <v>178881.09999999998</v>
      </c>
      <c r="N101" s="19">
        <f t="shared" si="16"/>
        <v>533101.1</v>
      </c>
      <c r="O101" s="5">
        <f>VLOOKUP(C101,'Durée de vie utile'!$B$15:$E$18,4,FALSE)</f>
        <v>90</v>
      </c>
      <c r="P101" s="5">
        <f>VLOOKUP(C101,'Durée de vie utile'!$B$15:$E$18,3,FALSE)</f>
        <v>60</v>
      </c>
      <c r="Q101" s="5">
        <f>VLOOKUP(C101,'Durée de vie utile'!$B$26:$E$29,4,FALSE)</f>
        <v>30</v>
      </c>
      <c r="R101" s="5">
        <f>VLOOKUP(C101,'Durée de vie utile'!$B$26:$E$29,3,FALSE)</f>
        <v>25</v>
      </c>
      <c r="S101" s="6">
        <f t="shared" si="17"/>
        <v>8885.0183333333334</v>
      </c>
      <c r="T101" s="6">
        <f>(N101/(1+'Autres hypothèses'!$D$5))*('Autres hypothèses'!$D$5/(((1+'Autres hypothèses'!$D$5)^Routes!P101-1)))</f>
        <v>6462.8995343698834</v>
      </c>
      <c r="U101" s="5">
        <v>1981</v>
      </c>
      <c r="V101" s="5">
        <f t="shared" si="9"/>
        <v>41</v>
      </c>
      <c r="W101" s="1">
        <f t="shared" si="10"/>
        <v>0.68333333333333335</v>
      </c>
      <c r="X101" s="3">
        <f t="shared" si="11"/>
        <v>136.66666666666666</v>
      </c>
      <c r="Y101" s="3">
        <f t="shared" si="12"/>
        <v>63.333333333333343</v>
      </c>
    </row>
    <row r="102" spans="1:25" x14ac:dyDescent="0.25">
      <c r="A102" s="20" t="s">
        <v>572</v>
      </c>
      <c r="B102" s="5" t="s">
        <v>1692</v>
      </c>
      <c r="C102" s="5" t="s">
        <v>1693</v>
      </c>
      <c r="D102" s="5"/>
      <c r="E102" s="5"/>
      <c r="F102" s="5"/>
      <c r="G102" s="5">
        <v>772</v>
      </c>
      <c r="H102" s="5">
        <v>47.3</v>
      </c>
      <c r="I102" s="19">
        <f>VLOOKUP("Couche de base",'Taux unitaires'!$B$9:$C$11,2,FALSE)</f>
        <v>200</v>
      </c>
      <c r="J102" s="19">
        <f>VLOOKUP("Revêtement de route",'Taux unitaires'!$B$9:$C$11,2,FALSE)</f>
        <v>101</v>
      </c>
      <c r="K102" s="19">
        <f t="shared" si="13"/>
        <v>154400</v>
      </c>
      <c r="L102" s="19">
        <f t="shared" si="14"/>
        <v>77972</v>
      </c>
      <c r="M102" s="19">
        <f t="shared" si="15"/>
        <v>155944</v>
      </c>
      <c r="N102" s="19">
        <f t="shared" si="16"/>
        <v>310344</v>
      </c>
      <c r="O102" s="5">
        <f>VLOOKUP(C102,'Durée de vie utile'!$B$15:$E$18,4,FALSE)</f>
        <v>125</v>
      </c>
      <c r="P102" s="5">
        <f>VLOOKUP(C102,'Durée de vie utile'!$B$15:$E$18,3,FALSE)</f>
        <v>100</v>
      </c>
      <c r="Q102" s="5">
        <f>VLOOKUP(C102,'Durée de vie utile'!$B$26:$E$29,4,FALSE)</f>
        <v>50</v>
      </c>
      <c r="R102" s="5">
        <f>VLOOKUP(C102,'Durée de vie utile'!$B$26:$E$29,3,FALSE)</f>
        <v>30</v>
      </c>
      <c r="S102" s="6">
        <f t="shared" si="17"/>
        <v>3103.44</v>
      </c>
      <c r="T102" s="6">
        <f>(N102/(1+'Autres hypothèses'!$D$5))*('Autres hypothèses'!$D$5/(((1+'Autres hypothèses'!$D$5)^Routes!P102-1)))</f>
        <v>1802.3744401051406</v>
      </c>
      <c r="U102" s="5">
        <v>1974</v>
      </c>
      <c r="V102" s="5">
        <f t="shared" si="9"/>
        <v>48</v>
      </c>
      <c r="W102" s="1">
        <f t="shared" si="10"/>
        <v>0.48</v>
      </c>
      <c r="X102" s="3">
        <f t="shared" si="11"/>
        <v>96</v>
      </c>
      <c r="Y102" s="3">
        <f t="shared" si="12"/>
        <v>104</v>
      </c>
    </row>
    <row r="103" spans="1:25" x14ac:dyDescent="0.25">
      <c r="A103" s="20" t="s">
        <v>573</v>
      </c>
      <c r="B103" s="5" t="s">
        <v>1694</v>
      </c>
      <c r="C103" s="5" t="s">
        <v>1695</v>
      </c>
      <c r="D103" s="5"/>
      <c r="E103" s="5"/>
      <c r="F103" s="5"/>
      <c r="G103" s="5">
        <v>601.20000000000005</v>
      </c>
      <c r="H103" s="5">
        <v>46.3</v>
      </c>
      <c r="I103" s="19">
        <f>VLOOKUP("Couche de base",'Taux unitaires'!$B$9:$C$11,2,FALSE)</f>
        <v>200</v>
      </c>
      <c r="J103" s="19">
        <f>VLOOKUP("Revêtement de route",'Taux unitaires'!$B$9:$C$11,2,FALSE)</f>
        <v>101</v>
      </c>
      <c r="K103" s="19">
        <f t="shared" si="13"/>
        <v>120240.00000000001</v>
      </c>
      <c r="L103" s="19">
        <f t="shared" si="14"/>
        <v>60721.200000000004</v>
      </c>
      <c r="M103" s="19">
        <f t="shared" si="15"/>
        <v>121442.40000000001</v>
      </c>
      <c r="N103" s="19">
        <f t="shared" si="16"/>
        <v>241682.40000000002</v>
      </c>
      <c r="O103" s="5">
        <f>VLOOKUP(C103,'Durée de vie utile'!$B$15:$E$18,4,FALSE)</f>
        <v>125</v>
      </c>
      <c r="P103" s="5">
        <f>VLOOKUP(C103,'Durée de vie utile'!$B$15:$E$18,3,FALSE)</f>
        <v>100</v>
      </c>
      <c r="Q103" s="5">
        <f>VLOOKUP(C103,'Durée de vie utile'!$B$26:$E$29,4,FALSE)</f>
        <v>50</v>
      </c>
      <c r="R103" s="5">
        <f>VLOOKUP(C103,'Durée de vie utile'!$B$26:$E$29,3,FALSE)</f>
        <v>30</v>
      </c>
      <c r="S103" s="6">
        <f t="shared" si="17"/>
        <v>2416.8240000000001</v>
      </c>
      <c r="T103" s="6">
        <f>(N103/(1+'Autres hypothèses'!$D$5))*('Autres hypothèses'!$D$5/(((1+'Autres hypothèses'!$D$5)^Routes!P103-1)))</f>
        <v>1403.6107686414643</v>
      </c>
      <c r="U103" s="5">
        <v>1974</v>
      </c>
      <c r="V103" s="5">
        <f t="shared" si="9"/>
        <v>48</v>
      </c>
      <c r="W103" s="1">
        <f t="shared" si="10"/>
        <v>0.48</v>
      </c>
      <c r="X103" s="3">
        <f t="shared" si="11"/>
        <v>96</v>
      </c>
      <c r="Y103" s="3">
        <f t="shared" si="12"/>
        <v>104</v>
      </c>
    </row>
    <row r="104" spans="1:25" x14ac:dyDescent="0.25">
      <c r="A104" s="20" t="s">
        <v>574</v>
      </c>
      <c r="B104" s="5" t="s">
        <v>1696</v>
      </c>
      <c r="C104" s="5" t="s">
        <v>1697</v>
      </c>
      <c r="D104" s="5"/>
      <c r="E104" s="5"/>
      <c r="F104" s="5"/>
      <c r="G104" s="5">
        <v>587.4</v>
      </c>
      <c r="H104" s="5">
        <v>36.9</v>
      </c>
      <c r="I104" s="19">
        <f>VLOOKUP("Couche de base",'Taux unitaires'!$B$9:$C$11,2,FALSE)</f>
        <v>200</v>
      </c>
      <c r="J104" s="19">
        <f>VLOOKUP("Revêtement de route",'Taux unitaires'!$B$9:$C$11,2,FALSE)</f>
        <v>101</v>
      </c>
      <c r="K104" s="19">
        <f t="shared" si="13"/>
        <v>117480</v>
      </c>
      <c r="L104" s="19">
        <f t="shared" si="14"/>
        <v>59327.399999999994</v>
      </c>
      <c r="M104" s="19">
        <f t="shared" si="15"/>
        <v>118654.79999999999</v>
      </c>
      <c r="N104" s="19">
        <f t="shared" si="16"/>
        <v>236134.8</v>
      </c>
      <c r="O104" s="5">
        <f>VLOOKUP(C104,'Durée de vie utile'!$B$15:$E$18,4,FALSE)</f>
        <v>125</v>
      </c>
      <c r="P104" s="5">
        <f>VLOOKUP(C104,'Durée de vie utile'!$B$15:$E$18,3,FALSE)</f>
        <v>100</v>
      </c>
      <c r="Q104" s="5">
        <f>VLOOKUP(C104,'Durée de vie utile'!$B$26:$E$29,4,FALSE)</f>
        <v>50</v>
      </c>
      <c r="R104" s="5">
        <f>VLOOKUP(C104,'Durée de vie utile'!$B$26:$E$29,3,FALSE)</f>
        <v>30</v>
      </c>
      <c r="S104" s="6">
        <f t="shared" si="17"/>
        <v>2361.348</v>
      </c>
      <c r="T104" s="6">
        <f>(N104/(1+'Autres hypothèses'!$D$5))*('Autres hypothèses'!$D$5/(((1+'Autres hypothèses'!$D$5)^Routes!P104-1)))</f>
        <v>1371.3921581836262</v>
      </c>
      <c r="U104" s="5">
        <v>1982</v>
      </c>
      <c r="V104" s="5">
        <f t="shared" si="9"/>
        <v>40</v>
      </c>
      <c r="W104" s="1">
        <f t="shared" si="10"/>
        <v>0.4</v>
      </c>
      <c r="X104" s="3">
        <f t="shared" si="11"/>
        <v>80</v>
      </c>
      <c r="Y104" s="3">
        <f t="shared" si="12"/>
        <v>120</v>
      </c>
    </row>
    <row r="105" spans="1:25" x14ac:dyDescent="0.25">
      <c r="A105" s="20" t="s">
        <v>575</v>
      </c>
      <c r="B105" s="5" t="s">
        <v>1698</v>
      </c>
      <c r="C105" s="5" t="s">
        <v>1699</v>
      </c>
      <c r="D105" s="5"/>
      <c r="E105" s="5"/>
      <c r="F105" s="5"/>
      <c r="G105" s="5">
        <v>3011.3</v>
      </c>
      <c r="H105" s="5">
        <v>390.4</v>
      </c>
      <c r="I105" s="19">
        <f>VLOOKUP("Couche de base",'Taux unitaires'!$B$9:$C$11,2,FALSE)</f>
        <v>200</v>
      </c>
      <c r="J105" s="19">
        <f>VLOOKUP("Revêtement de route",'Taux unitaires'!$B$9:$C$11,2,FALSE)</f>
        <v>101</v>
      </c>
      <c r="K105" s="19">
        <f t="shared" si="13"/>
        <v>602260</v>
      </c>
      <c r="L105" s="19">
        <f t="shared" si="14"/>
        <v>304141.30000000005</v>
      </c>
      <c r="M105" s="19">
        <f t="shared" si="15"/>
        <v>608282.60000000009</v>
      </c>
      <c r="N105" s="19">
        <f t="shared" si="16"/>
        <v>1210542.6000000001</v>
      </c>
      <c r="O105" s="5">
        <f>VLOOKUP(C105,'Durée de vie utile'!$B$15:$E$18,4,FALSE)</f>
        <v>100</v>
      </c>
      <c r="P105" s="5">
        <f>VLOOKUP(C105,'Durée de vie utile'!$B$15:$E$18,3,FALSE)</f>
        <v>80</v>
      </c>
      <c r="Q105" s="5">
        <f>VLOOKUP(C105,'Durée de vie utile'!$B$26:$E$29,4,FALSE)</f>
        <v>40</v>
      </c>
      <c r="R105" s="5">
        <f>VLOOKUP(C105,'Durée de vie utile'!$B$26:$E$29,3,FALSE)</f>
        <v>25</v>
      </c>
      <c r="S105" s="6">
        <f t="shared" si="17"/>
        <v>15131.782500000001</v>
      </c>
      <c r="T105" s="6">
        <f>(N105/(1+'Autres hypothèses'!$D$5))*('Autres hypothèses'!$D$5/(((1+'Autres hypothèses'!$D$5)^Routes!P105-1)))</f>
        <v>9850.7605786902113</v>
      </c>
      <c r="U105" s="5">
        <v>1982</v>
      </c>
      <c r="V105" s="5">
        <f t="shared" si="9"/>
        <v>40</v>
      </c>
      <c r="W105" s="1">
        <f t="shared" si="10"/>
        <v>0.5</v>
      </c>
      <c r="X105" s="3">
        <f t="shared" si="11"/>
        <v>100</v>
      </c>
      <c r="Y105" s="3">
        <f t="shared" si="12"/>
        <v>100</v>
      </c>
    </row>
    <row r="106" spans="1:25" x14ac:dyDescent="0.25">
      <c r="A106" s="20" t="s">
        <v>576</v>
      </c>
      <c r="B106" s="5" t="s">
        <v>1700</v>
      </c>
      <c r="C106" s="5" t="s">
        <v>1701</v>
      </c>
      <c r="D106" s="5"/>
      <c r="E106" s="5"/>
      <c r="F106" s="5"/>
      <c r="G106" s="5">
        <v>1652.3</v>
      </c>
      <c r="H106" s="5">
        <v>118.9</v>
      </c>
      <c r="I106" s="19">
        <f>VLOOKUP("Couche de base",'Taux unitaires'!$B$9:$C$11,2,FALSE)</f>
        <v>200</v>
      </c>
      <c r="J106" s="19">
        <f>VLOOKUP("Revêtement de route",'Taux unitaires'!$B$9:$C$11,2,FALSE)</f>
        <v>101</v>
      </c>
      <c r="K106" s="19">
        <f t="shared" si="13"/>
        <v>330460</v>
      </c>
      <c r="L106" s="19">
        <f t="shared" si="14"/>
        <v>166882.29999999999</v>
      </c>
      <c r="M106" s="19">
        <f t="shared" si="15"/>
        <v>333764.59999999998</v>
      </c>
      <c r="N106" s="19">
        <f t="shared" si="16"/>
        <v>664224.6</v>
      </c>
      <c r="O106" s="5">
        <f>VLOOKUP(C106,'Durée de vie utile'!$B$15:$E$18,4,FALSE)</f>
        <v>125</v>
      </c>
      <c r="P106" s="5">
        <f>VLOOKUP(C106,'Durée de vie utile'!$B$15:$E$18,3,FALSE)</f>
        <v>100</v>
      </c>
      <c r="Q106" s="5">
        <f>VLOOKUP(C106,'Durée de vie utile'!$B$26:$E$29,4,FALSE)</f>
        <v>50</v>
      </c>
      <c r="R106" s="5">
        <f>VLOOKUP(C106,'Durée de vie utile'!$B$26:$E$29,3,FALSE)</f>
        <v>30</v>
      </c>
      <c r="S106" s="6">
        <f t="shared" si="17"/>
        <v>6642.2460000000001</v>
      </c>
      <c r="T106" s="6">
        <f>(N106/(1+'Autres hypothèses'!$D$5))*('Autres hypothèses'!$D$5/(((1+'Autres hypothèses'!$D$5)^Routes!P106-1)))</f>
        <v>3857.5949318467924</v>
      </c>
      <c r="U106" s="5">
        <v>1982</v>
      </c>
      <c r="V106" s="5">
        <f t="shared" si="9"/>
        <v>40</v>
      </c>
      <c r="W106" s="1">
        <f t="shared" si="10"/>
        <v>0.4</v>
      </c>
      <c r="X106" s="3">
        <f t="shared" si="11"/>
        <v>80</v>
      </c>
      <c r="Y106" s="3">
        <f t="shared" si="12"/>
        <v>120</v>
      </c>
    </row>
    <row r="107" spans="1:25" x14ac:dyDescent="0.25">
      <c r="A107" s="20" t="s">
        <v>577</v>
      </c>
      <c r="B107" s="5" t="s">
        <v>1702</v>
      </c>
      <c r="C107" s="5" t="s">
        <v>1703</v>
      </c>
      <c r="D107" s="5"/>
      <c r="E107" s="5"/>
      <c r="F107" s="5"/>
      <c r="G107" s="5">
        <v>1311.6143674499899</v>
      </c>
      <c r="H107" s="5">
        <v>119.237669768182</v>
      </c>
      <c r="I107" s="19">
        <f>VLOOKUP("Couche de base",'Taux unitaires'!$B$9:$C$11,2,FALSE)</f>
        <v>200</v>
      </c>
      <c r="J107" s="19">
        <f>VLOOKUP("Revêtement de route",'Taux unitaires'!$B$9:$C$11,2,FALSE)</f>
        <v>101</v>
      </c>
      <c r="K107" s="19">
        <f t="shared" si="13"/>
        <v>262322.87348999799</v>
      </c>
      <c r="L107" s="19">
        <f t="shared" si="14"/>
        <v>132473.05111244897</v>
      </c>
      <c r="M107" s="19">
        <f t="shared" si="15"/>
        <v>264946.10222489794</v>
      </c>
      <c r="N107" s="19">
        <f t="shared" si="16"/>
        <v>527268.97571489587</v>
      </c>
      <c r="O107" s="5">
        <f>VLOOKUP(C107,'Durée de vie utile'!$B$15:$E$18,4,FALSE)</f>
        <v>125</v>
      </c>
      <c r="P107" s="5">
        <f>VLOOKUP(C107,'Durée de vie utile'!$B$15:$E$18,3,FALSE)</f>
        <v>100</v>
      </c>
      <c r="Q107" s="5">
        <f>VLOOKUP(C107,'Durée de vie utile'!$B$26:$E$29,4,FALSE)</f>
        <v>50</v>
      </c>
      <c r="R107" s="5">
        <f>VLOOKUP(C107,'Durée de vie utile'!$B$26:$E$29,3,FALSE)</f>
        <v>30</v>
      </c>
      <c r="S107" s="6">
        <f t="shared" si="17"/>
        <v>5272.689757148959</v>
      </c>
      <c r="T107" s="6">
        <f>(N107/(1+'Autres hypothèses'!$D$5))*('Autres hypothèses'!$D$5/(((1+'Autres hypothèses'!$D$5)^Routes!P107-1)))</f>
        <v>3062.2023460706391</v>
      </c>
      <c r="U107" s="5">
        <v>1982</v>
      </c>
      <c r="V107" s="5">
        <f t="shared" si="9"/>
        <v>40</v>
      </c>
      <c r="W107" s="1">
        <f t="shared" si="10"/>
        <v>0.4</v>
      </c>
      <c r="X107" s="3">
        <f t="shared" si="11"/>
        <v>80</v>
      </c>
      <c r="Y107" s="3">
        <f t="shared" si="12"/>
        <v>120</v>
      </c>
    </row>
    <row r="108" spans="1:25" x14ac:dyDescent="0.25">
      <c r="A108" s="20" t="s">
        <v>578</v>
      </c>
      <c r="B108" s="5" t="s">
        <v>1704</v>
      </c>
      <c r="C108" s="5" t="s">
        <v>1705</v>
      </c>
      <c r="D108" s="5"/>
      <c r="E108" s="5"/>
      <c r="F108" s="5"/>
      <c r="G108" s="5">
        <v>1541.1</v>
      </c>
      <c r="H108" s="5">
        <v>164.1</v>
      </c>
      <c r="I108" s="19">
        <f>VLOOKUP("Couche de base",'Taux unitaires'!$B$9:$C$11,2,FALSE)</f>
        <v>200</v>
      </c>
      <c r="J108" s="19">
        <f>VLOOKUP("Revêtement de route",'Taux unitaires'!$B$9:$C$11,2,FALSE)</f>
        <v>101</v>
      </c>
      <c r="K108" s="19">
        <f t="shared" si="13"/>
        <v>308220</v>
      </c>
      <c r="L108" s="19">
        <f t="shared" si="14"/>
        <v>155651.09999999998</v>
      </c>
      <c r="M108" s="19">
        <f t="shared" si="15"/>
        <v>311302.19999999995</v>
      </c>
      <c r="N108" s="19">
        <f t="shared" si="16"/>
        <v>619522.19999999995</v>
      </c>
      <c r="O108" s="5">
        <f>VLOOKUP(C108,'Durée de vie utile'!$B$15:$E$18,4,FALSE)</f>
        <v>125</v>
      </c>
      <c r="P108" s="5">
        <f>VLOOKUP(C108,'Durée de vie utile'!$B$15:$E$18,3,FALSE)</f>
        <v>100</v>
      </c>
      <c r="Q108" s="5">
        <f>VLOOKUP(C108,'Durée de vie utile'!$B$26:$E$29,4,FALSE)</f>
        <v>50</v>
      </c>
      <c r="R108" s="5">
        <f>VLOOKUP(C108,'Durée de vie utile'!$B$26:$E$29,3,FALSE)</f>
        <v>30</v>
      </c>
      <c r="S108" s="6">
        <f t="shared" si="17"/>
        <v>6195.2219999999998</v>
      </c>
      <c r="T108" s="6">
        <f>(N108/(1+'Autres hypothèses'!$D$5))*('Autres hypothèses'!$D$5/(((1+'Autres hypothèses'!$D$5)^Routes!P108-1)))</f>
        <v>3597.9783026503005</v>
      </c>
      <c r="U108" s="5">
        <v>1982</v>
      </c>
      <c r="V108" s="5">
        <f t="shared" si="9"/>
        <v>40</v>
      </c>
      <c r="W108" s="1">
        <f t="shared" si="10"/>
        <v>0.4</v>
      </c>
      <c r="X108" s="3">
        <f t="shared" si="11"/>
        <v>80</v>
      </c>
      <c r="Y108" s="3">
        <f t="shared" si="12"/>
        <v>120</v>
      </c>
    </row>
    <row r="109" spans="1:25" x14ac:dyDescent="0.25">
      <c r="A109" s="20" t="s">
        <v>579</v>
      </c>
      <c r="B109" s="5" t="s">
        <v>1706</v>
      </c>
      <c r="C109" s="5" t="s">
        <v>1707</v>
      </c>
      <c r="D109" s="5"/>
      <c r="E109" s="5"/>
      <c r="F109" s="5"/>
      <c r="G109" s="5">
        <v>629.63673546999905</v>
      </c>
      <c r="H109" s="5">
        <v>92.610246264058404</v>
      </c>
      <c r="I109" s="19">
        <f>VLOOKUP("Couche de base",'Taux unitaires'!$B$9:$C$11,2,FALSE)</f>
        <v>200</v>
      </c>
      <c r="J109" s="19">
        <f>VLOOKUP("Revêtement de route",'Taux unitaires'!$B$9:$C$11,2,FALSE)</f>
        <v>101</v>
      </c>
      <c r="K109" s="19">
        <f t="shared" si="13"/>
        <v>125927.34709399981</v>
      </c>
      <c r="L109" s="19">
        <f t="shared" si="14"/>
        <v>63593.310282469902</v>
      </c>
      <c r="M109" s="19">
        <f t="shared" si="15"/>
        <v>127186.6205649398</v>
      </c>
      <c r="N109" s="19">
        <f t="shared" si="16"/>
        <v>253113.9676589396</v>
      </c>
      <c r="O109" s="5">
        <f>VLOOKUP(C109,'Durée de vie utile'!$B$15:$E$18,4,FALSE)</f>
        <v>125</v>
      </c>
      <c r="P109" s="5">
        <f>VLOOKUP(C109,'Durée de vie utile'!$B$15:$E$18,3,FALSE)</f>
        <v>100</v>
      </c>
      <c r="Q109" s="5">
        <f>VLOOKUP(C109,'Durée de vie utile'!$B$26:$E$29,4,FALSE)</f>
        <v>50</v>
      </c>
      <c r="R109" s="5">
        <f>VLOOKUP(C109,'Durée de vie utile'!$B$26:$E$29,3,FALSE)</f>
        <v>30</v>
      </c>
      <c r="S109" s="6">
        <f t="shared" si="17"/>
        <v>2531.139676589396</v>
      </c>
      <c r="T109" s="6">
        <f>(N109/(1+'Autres hypothèses'!$D$5))*('Autres hypothèses'!$D$5/(((1+'Autres hypothèses'!$D$5)^Routes!P109-1)))</f>
        <v>1470.001500728456</v>
      </c>
      <c r="U109" s="5">
        <v>1977</v>
      </c>
      <c r="V109" s="5">
        <f t="shared" si="9"/>
        <v>45</v>
      </c>
      <c r="W109" s="1">
        <f t="shared" si="10"/>
        <v>0.45</v>
      </c>
      <c r="X109" s="3">
        <f t="shared" si="11"/>
        <v>90</v>
      </c>
      <c r="Y109" s="3">
        <f t="shared" si="12"/>
        <v>110</v>
      </c>
    </row>
    <row r="110" spans="1:25" x14ac:dyDescent="0.25">
      <c r="A110" s="20" t="s">
        <v>580</v>
      </c>
      <c r="B110" s="5" t="s">
        <v>1708</v>
      </c>
      <c r="C110" s="5" t="s">
        <v>1709</v>
      </c>
      <c r="D110" s="5"/>
      <c r="E110" s="5"/>
      <c r="F110" s="5"/>
      <c r="G110" s="5">
        <v>873.35869972</v>
      </c>
      <c r="H110" s="5">
        <v>75.984523470600607</v>
      </c>
      <c r="I110" s="19">
        <f>VLOOKUP("Couche de base",'Taux unitaires'!$B$9:$C$11,2,FALSE)</f>
        <v>200</v>
      </c>
      <c r="J110" s="19">
        <f>VLOOKUP("Revêtement de route",'Taux unitaires'!$B$9:$C$11,2,FALSE)</f>
        <v>101</v>
      </c>
      <c r="K110" s="19">
        <f t="shared" si="13"/>
        <v>174671.739944</v>
      </c>
      <c r="L110" s="19">
        <f t="shared" si="14"/>
        <v>88209.228671720004</v>
      </c>
      <c r="M110" s="19">
        <f t="shared" si="15"/>
        <v>176418.45734344001</v>
      </c>
      <c r="N110" s="19">
        <f t="shared" si="16"/>
        <v>351090.19728744001</v>
      </c>
      <c r="O110" s="5">
        <f>VLOOKUP(C110,'Durée de vie utile'!$B$15:$E$18,4,FALSE)</f>
        <v>125</v>
      </c>
      <c r="P110" s="5">
        <f>VLOOKUP(C110,'Durée de vie utile'!$B$15:$E$18,3,FALSE)</f>
        <v>100</v>
      </c>
      <c r="Q110" s="5">
        <f>VLOOKUP(C110,'Durée de vie utile'!$B$26:$E$29,4,FALSE)</f>
        <v>50</v>
      </c>
      <c r="R110" s="5">
        <f>VLOOKUP(C110,'Durée de vie utile'!$B$26:$E$29,3,FALSE)</f>
        <v>30</v>
      </c>
      <c r="S110" s="6">
        <f t="shared" si="17"/>
        <v>3510.9019728744001</v>
      </c>
      <c r="T110" s="6">
        <f>(N110/(1+'Autres hypothèses'!$D$5))*('Autres hypothèses'!$D$5/(((1+'Autres hypothèses'!$D$5)^Routes!P110-1)))</f>
        <v>2039.0147634958403</v>
      </c>
      <c r="U110" s="5">
        <v>1984</v>
      </c>
      <c r="V110" s="5">
        <f t="shared" si="9"/>
        <v>38</v>
      </c>
      <c r="W110" s="1">
        <f t="shared" si="10"/>
        <v>0.38</v>
      </c>
      <c r="X110" s="3">
        <f t="shared" si="11"/>
        <v>76</v>
      </c>
      <c r="Y110" s="3">
        <f t="shared" si="12"/>
        <v>124</v>
      </c>
    </row>
    <row r="111" spans="1:25" x14ac:dyDescent="0.25">
      <c r="A111" s="20" t="s">
        <v>581</v>
      </c>
      <c r="B111" s="5" t="s">
        <v>1710</v>
      </c>
      <c r="C111" s="5" t="s">
        <v>1711</v>
      </c>
      <c r="D111" s="5"/>
      <c r="E111" s="5"/>
      <c r="F111" s="5"/>
      <c r="G111" s="5">
        <v>2121.9</v>
      </c>
      <c r="H111" s="5">
        <v>322.2</v>
      </c>
      <c r="I111" s="19">
        <f>VLOOKUP("Couche de base",'Taux unitaires'!$B$9:$C$11,2,FALSE)</f>
        <v>200</v>
      </c>
      <c r="J111" s="19">
        <f>VLOOKUP("Revêtement de route",'Taux unitaires'!$B$9:$C$11,2,FALSE)</f>
        <v>101</v>
      </c>
      <c r="K111" s="19">
        <f t="shared" si="13"/>
        <v>424380</v>
      </c>
      <c r="L111" s="19">
        <f t="shared" si="14"/>
        <v>214311.90000000002</v>
      </c>
      <c r="M111" s="19">
        <f t="shared" si="15"/>
        <v>428623.80000000005</v>
      </c>
      <c r="N111" s="19">
        <f t="shared" si="16"/>
        <v>853003.8</v>
      </c>
      <c r="O111" s="5">
        <f>VLOOKUP(C111,'Durée de vie utile'!$B$15:$E$18,4,FALSE)</f>
        <v>100</v>
      </c>
      <c r="P111" s="5">
        <f>VLOOKUP(C111,'Durée de vie utile'!$B$15:$E$18,3,FALSE)</f>
        <v>80</v>
      </c>
      <c r="Q111" s="5">
        <f>VLOOKUP(C111,'Durée de vie utile'!$B$26:$E$29,4,FALSE)</f>
        <v>40</v>
      </c>
      <c r="R111" s="5">
        <f>VLOOKUP(C111,'Durée de vie utile'!$B$26:$E$29,3,FALSE)</f>
        <v>25</v>
      </c>
      <c r="S111" s="6">
        <f t="shared" si="17"/>
        <v>10662.547500000001</v>
      </c>
      <c r="T111" s="6">
        <f>(N111/(1+'Autres hypothèses'!$D$5))*('Autres hypothèses'!$D$5/(((1+'Autres hypothèses'!$D$5)^Routes!P111-1)))</f>
        <v>6941.2974037534486</v>
      </c>
      <c r="U111" s="5">
        <v>1984</v>
      </c>
      <c r="V111" s="5">
        <f t="shared" si="9"/>
        <v>38</v>
      </c>
      <c r="W111" s="1">
        <f t="shared" si="10"/>
        <v>0.47499999999999998</v>
      </c>
      <c r="X111" s="3">
        <f t="shared" si="11"/>
        <v>95</v>
      </c>
      <c r="Y111" s="3">
        <f t="shared" si="12"/>
        <v>105</v>
      </c>
    </row>
    <row r="112" spans="1:25" x14ac:dyDescent="0.25">
      <c r="A112" s="20" t="s">
        <v>582</v>
      </c>
      <c r="B112" s="5" t="s">
        <v>1712</v>
      </c>
      <c r="C112" s="5" t="s">
        <v>1713</v>
      </c>
      <c r="D112" s="5"/>
      <c r="E112" s="5"/>
      <c r="F112" s="5"/>
      <c r="G112" s="5">
        <v>582.5</v>
      </c>
      <c r="H112" s="5">
        <v>45.5</v>
      </c>
      <c r="I112" s="19">
        <f>VLOOKUP("Couche de base",'Taux unitaires'!$B$9:$C$11,2,FALSE)</f>
        <v>200</v>
      </c>
      <c r="J112" s="19">
        <f>VLOOKUP("Revêtement de route",'Taux unitaires'!$B$9:$C$11,2,FALSE)</f>
        <v>101</v>
      </c>
      <c r="K112" s="19">
        <f t="shared" si="13"/>
        <v>116500</v>
      </c>
      <c r="L112" s="19">
        <f t="shared" si="14"/>
        <v>58832.5</v>
      </c>
      <c r="M112" s="19">
        <f t="shared" si="15"/>
        <v>117665</v>
      </c>
      <c r="N112" s="19">
        <f t="shared" si="16"/>
        <v>234165</v>
      </c>
      <c r="O112" s="5">
        <f>VLOOKUP(C112,'Durée de vie utile'!$B$15:$E$18,4,FALSE)</f>
        <v>125</v>
      </c>
      <c r="P112" s="5">
        <f>VLOOKUP(C112,'Durée de vie utile'!$B$15:$E$18,3,FALSE)</f>
        <v>100</v>
      </c>
      <c r="Q112" s="5">
        <f>VLOOKUP(C112,'Durée de vie utile'!$B$26:$E$29,4,FALSE)</f>
        <v>50</v>
      </c>
      <c r="R112" s="5">
        <f>VLOOKUP(C112,'Durée de vie utile'!$B$26:$E$29,3,FALSE)</f>
        <v>30</v>
      </c>
      <c r="S112" s="6">
        <f t="shared" si="17"/>
        <v>2341.65</v>
      </c>
      <c r="T112" s="6">
        <f>(N112/(1+'Autres hypothèses'!$D$5))*('Autres hypothèses'!$D$5/(((1+'Autres hypothèses'!$D$5)^Routes!P112-1)))</f>
        <v>1359.9522167891766</v>
      </c>
      <c r="U112" s="5">
        <v>1977</v>
      </c>
      <c r="V112" s="5">
        <f t="shared" si="9"/>
        <v>45</v>
      </c>
      <c r="W112" s="1">
        <f t="shared" si="10"/>
        <v>0.45</v>
      </c>
      <c r="X112" s="3">
        <f t="shared" si="11"/>
        <v>90</v>
      </c>
      <c r="Y112" s="3">
        <f t="shared" si="12"/>
        <v>110</v>
      </c>
    </row>
    <row r="113" spans="1:25" x14ac:dyDescent="0.25">
      <c r="A113" s="20" t="s">
        <v>583</v>
      </c>
      <c r="B113" s="5" t="s">
        <v>1714</v>
      </c>
      <c r="C113" s="5" t="s">
        <v>1715</v>
      </c>
      <c r="D113" s="5"/>
      <c r="E113" s="5"/>
      <c r="F113" s="5"/>
      <c r="G113" s="5">
        <v>1086.3258039100001</v>
      </c>
      <c r="H113" s="5">
        <v>103.579902214039</v>
      </c>
      <c r="I113" s="19">
        <f>VLOOKUP("Couche de base",'Taux unitaires'!$B$9:$C$11,2,FALSE)</f>
        <v>200</v>
      </c>
      <c r="J113" s="19">
        <f>VLOOKUP("Revêtement de route",'Taux unitaires'!$B$9:$C$11,2,FALSE)</f>
        <v>101</v>
      </c>
      <c r="K113" s="19">
        <f t="shared" si="13"/>
        <v>217265.16078200002</v>
      </c>
      <c r="L113" s="19">
        <f t="shared" si="14"/>
        <v>109718.90619491001</v>
      </c>
      <c r="M113" s="19">
        <f t="shared" si="15"/>
        <v>219437.81238982003</v>
      </c>
      <c r="N113" s="19">
        <f t="shared" si="16"/>
        <v>436702.97317182005</v>
      </c>
      <c r="O113" s="5">
        <f>VLOOKUP(C113,'Durée de vie utile'!$B$15:$E$18,4,FALSE)</f>
        <v>125</v>
      </c>
      <c r="P113" s="5">
        <f>VLOOKUP(C113,'Durée de vie utile'!$B$15:$E$18,3,FALSE)</f>
        <v>100</v>
      </c>
      <c r="Q113" s="5">
        <f>VLOOKUP(C113,'Durée de vie utile'!$B$26:$E$29,4,FALSE)</f>
        <v>50</v>
      </c>
      <c r="R113" s="5">
        <f>VLOOKUP(C113,'Durée de vie utile'!$B$26:$E$29,3,FALSE)</f>
        <v>30</v>
      </c>
      <c r="S113" s="6">
        <f t="shared" si="17"/>
        <v>4367.0297317182003</v>
      </c>
      <c r="T113" s="6">
        <f>(N113/(1+'Autres hypothèses'!$D$5))*('Autres hypothèses'!$D$5/(((1+'Autres hypothèses'!$D$5)^Routes!P113-1)))</f>
        <v>2536.2252106140586</v>
      </c>
      <c r="U113" s="5">
        <v>1984</v>
      </c>
      <c r="V113" s="5">
        <f t="shared" si="9"/>
        <v>38</v>
      </c>
      <c r="W113" s="1">
        <f t="shared" si="10"/>
        <v>0.38</v>
      </c>
      <c r="X113" s="3">
        <f t="shared" si="11"/>
        <v>76</v>
      </c>
      <c r="Y113" s="3">
        <f t="shared" si="12"/>
        <v>124</v>
      </c>
    </row>
    <row r="114" spans="1:25" x14ac:dyDescent="0.25">
      <c r="A114" s="20" t="s">
        <v>584</v>
      </c>
      <c r="B114" s="5" t="s">
        <v>1716</v>
      </c>
      <c r="C114" s="5" t="s">
        <v>1717</v>
      </c>
      <c r="D114" s="5"/>
      <c r="E114" s="5"/>
      <c r="F114" s="5"/>
      <c r="G114" s="5">
        <v>6257.4</v>
      </c>
      <c r="H114" s="5">
        <v>272.60000000000002</v>
      </c>
      <c r="I114" s="19">
        <f>VLOOKUP("Couche de base",'Taux unitaires'!$B$9:$C$11,2,FALSE)</f>
        <v>200</v>
      </c>
      <c r="J114" s="19">
        <f>VLOOKUP("Revêtement de route",'Taux unitaires'!$B$9:$C$11,2,FALSE)</f>
        <v>101</v>
      </c>
      <c r="K114" s="19">
        <f t="shared" si="13"/>
        <v>1251480</v>
      </c>
      <c r="L114" s="19">
        <f t="shared" si="14"/>
        <v>631997.39999999991</v>
      </c>
      <c r="M114" s="19">
        <f t="shared" si="15"/>
        <v>1263994.7999999998</v>
      </c>
      <c r="N114" s="19">
        <f t="shared" si="16"/>
        <v>2515474.7999999998</v>
      </c>
      <c r="O114" s="5">
        <f>VLOOKUP(C114,'Durée de vie utile'!$B$15:$E$18,4,FALSE)</f>
        <v>125</v>
      </c>
      <c r="P114" s="5">
        <f>VLOOKUP(C114,'Durée de vie utile'!$B$15:$E$18,3,FALSE)</f>
        <v>100</v>
      </c>
      <c r="Q114" s="5">
        <f>VLOOKUP(C114,'Durée de vie utile'!$B$26:$E$29,4,FALSE)</f>
        <v>50</v>
      </c>
      <c r="R114" s="5">
        <f>VLOOKUP(C114,'Durée de vie utile'!$B$26:$E$29,3,FALSE)</f>
        <v>30</v>
      </c>
      <c r="S114" s="6">
        <f t="shared" si="17"/>
        <v>25154.748</v>
      </c>
      <c r="T114" s="6">
        <f>(N114/(1+'Autres hypothèses'!$D$5))*('Autres hypothèses'!$D$5/(((1+'Autres hypothèses'!$D$5)^Routes!P114-1)))</f>
        <v>14609.038628904022</v>
      </c>
      <c r="U114" s="5">
        <v>1984</v>
      </c>
      <c r="V114" s="5">
        <f t="shared" si="9"/>
        <v>38</v>
      </c>
      <c r="W114" s="1">
        <f t="shared" si="10"/>
        <v>0.38</v>
      </c>
      <c r="X114" s="3">
        <f t="shared" si="11"/>
        <v>76</v>
      </c>
      <c r="Y114" s="3">
        <f t="shared" si="12"/>
        <v>124</v>
      </c>
    </row>
    <row r="115" spans="1:25" x14ac:dyDescent="0.25">
      <c r="A115" s="20" t="s">
        <v>585</v>
      </c>
      <c r="B115" s="5" t="s">
        <v>1718</v>
      </c>
      <c r="C115" s="5" t="s">
        <v>1719</v>
      </c>
      <c r="D115" s="5"/>
      <c r="E115" s="5"/>
      <c r="F115" s="5"/>
      <c r="G115" s="5">
        <v>2127.5898202899898</v>
      </c>
      <c r="H115" s="5">
        <v>218.07795660157299</v>
      </c>
      <c r="I115" s="19">
        <f>VLOOKUP("Couche de base",'Taux unitaires'!$B$9:$C$11,2,FALSE)</f>
        <v>200</v>
      </c>
      <c r="J115" s="19">
        <f>VLOOKUP("Revêtement de route",'Taux unitaires'!$B$9:$C$11,2,FALSE)</f>
        <v>101</v>
      </c>
      <c r="K115" s="19">
        <f t="shared" si="13"/>
        <v>425517.96405799798</v>
      </c>
      <c r="L115" s="19">
        <f t="shared" si="14"/>
        <v>214886.57184928897</v>
      </c>
      <c r="M115" s="19">
        <f t="shared" si="15"/>
        <v>429773.14369857794</v>
      </c>
      <c r="N115" s="19">
        <f t="shared" si="16"/>
        <v>855291.10775657592</v>
      </c>
      <c r="O115" s="5">
        <f>VLOOKUP(C115,'Durée de vie utile'!$B$15:$E$18,4,FALSE)</f>
        <v>125</v>
      </c>
      <c r="P115" s="5">
        <f>VLOOKUP(C115,'Durée de vie utile'!$B$15:$E$18,3,FALSE)</f>
        <v>100</v>
      </c>
      <c r="Q115" s="5">
        <f>VLOOKUP(C115,'Durée de vie utile'!$B$26:$E$29,4,FALSE)</f>
        <v>50</v>
      </c>
      <c r="R115" s="5">
        <f>VLOOKUP(C115,'Durée de vie utile'!$B$26:$E$29,3,FALSE)</f>
        <v>30</v>
      </c>
      <c r="S115" s="6">
        <f t="shared" si="17"/>
        <v>8552.9110775657591</v>
      </c>
      <c r="T115" s="6">
        <f>(N115/(1+'Autres hypothèses'!$D$5))*('Autres hypothèses'!$D$5/(((1+'Autres hypothèses'!$D$5)^Routes!P115-1)))</f>
        <v>4967.2454807235317</v>
      </c>
      <c r="U115" s="5">
        <v>1977</v>
      </c>
      <c r="V115" s="5">
        <f t="shared" si="9"/>
        <v>45</v>
      </c>
      <c r="W115" s="1">
        <f t="shared" si="10"/>
        <v>0.45</v>
      </c>
      <c r="X115" s="3">
        <f t="shared" si="11"/>
        <v>90</v>
      </c>
      <c r="Y115" s="3">
        <f t="shared" si="12"/>
        <v>110</v>
      </c>
    </row>
    <row r="116" spans="1:25" x14ac:dyDescent="0.25">
      <c r="A116" s="20" t="s">
        <v>586</v>
      </c>
      <c r="B116" s="5" t="s">
        <v>1720</v>
      </c>
      <c r="C116" s="5" t="s">
        <v>1721</v>
      </c>
      <c r="D116" s="5"/>
      <c r="E116" s="5"/>
      <c r="F116" s="5"/>
      <c r="G116" s="5">
        <v>1169.0999999999999</v>
      </c>
      <c r="H116" s="5">
        <v>125.7</v>
      </c>
      <c r="I116" s="19">
        <f>VLOOKUP("Couche de base",'Taux unitaires'!$B$9:$C$11,2,FALSE)</f>
        <v>200</v>
      </c>
      <c r="J116" s="19">
        <f>VLOOKUP("Revêtement de route",'Taux unitaires'!$B$9:$C$11,2,FALSE)</f>
        <v>101</v>
      </c>
      <c r="K116" s="19">
        <f t="shared" si="13"/>
        <v>233819.99999999997</v>
      </c>
      <c r="L116" s="19">
        <f t="shared" si="14"/>
        <v>118079.09999999999</v>
      </c>
      <c r="M116" s="19">
        <f t="shared" si="15"/>
        <v>236158.19999999998</v>
      </c>
      <c r="N116" s="19">
        <f t="shared" si="16"/>
        <v>469978.19999999995</v>
      </c>
      <c r="O116" s="5">
        <f>VLOOKUP(C116,'Durée de vie utile'!$B$15:$E$18,4,FALSE)</f>
        <v>125</v>
      </c>
      <c r="P116" s="5">
        <f>VLOOKUP(C116,'Durée de vie utile'!$B$15:$E$18,3,FALSE)</f>
        <v>100</v>
      </c>
      <c r="Q116" s="5">
        <f>VLOOKUP(C116,'Durée de vie utile'!$B$26:$E$29,4,FALSE)</f>
        <v>50</v>
      </c>
      <c r="R116" s="5">
        <f>VLOOKUP(C116,'Durée de vie utile'!$B$26:$E$29,3,FALSE)</f>
        <v>30</v>
      </c>
      <c r="S116" s="6">
        <f t="shared" si="17"/>
        <v>4699.7819999999992</v>
      </c>
      <c r="T116" s="6">
        <f>(N116/(1+'Autres hypothèses'!$D$5))*('Autres hypothèses'!$D$5/(((1+'Autres hypothèses'!$D$5)^Routes!P116-1)))</f>
        <v>2729.4766294390151</v>
      </c>
      <c r="U116" s="5">
        <v>1977</v>
      </c>
      <c r="V116" s="5">
        <f t="shared" si="9"/>
        <v>45</v>
      </c>
      <c r="W116" s="1">
        <f t="shared" si="10"/>
        <v>0.45</v>
      </c>
      <c r="X116" s="3">
        <f t="shared" si="11"/>
        <v>90</v>
      </c>
      <c r="Y116" s="3">
        <f t="shared" si="12"/>
        <v>110</v>
      </c>
    </row>
    <row r="117" spans="1:25" x14ac:dyDescent="0.25">
      <c r="A117" s="20" t="s">
        <v>587</v>
      </c>
      <c r="B117" s="5" t="s">
        <v>1722</v>
      </c>
      <c r="C117" s="5" t="s">
        <v>1723</v>
      </c>
      <c r="D117" s="5"/>
      <c r="E117" s="5"/>
      <c r="F117" s="5"/>
      <c r="G117" s="5">
        <v>2575.8000000000002</v>
      </c>
      <c r="H117" s="5">
        <v>137.80000000000001</v>
      </c>
      <c r="I117" s="19">
        <f>VLOOKUP("Couche de base",'Taux unitaires'!$B$9:$C$11,2,FALSE)</f>
        <v>200</v>
      </c>
      <c r="J117" s="19">
        <f>VLOOKUP("Revêtement de route",'Taux unitaires'!$B$9:$C$11,2,FALSE)</f>
        <v>101</v>
      </c>
      <c r="K117" s="19">
        <f t="shared" si="13"/>
        <v>515160.00000000006</v>
      </c>
      <c r="L117" s="19">
        <f t="shared" si="14"/>
        <v>260155.80000000002</v>
      </c>
      <c r="M117" s="19">
        <f t="shared" si="15"/>
        <v>520311.60000000003</v>
      </c>
      <c r="N117" s="19">
        <f t="shared" si="16"/>
        <v>1035471.6000000001</v>
      </c>
      <c r="O117" s="5">
        <f>VLOOKUP(C117,'Durée de vie utile'!$B$15:$E$18,4,FALSE)</f>
        <v>125</v>
      </c>
      <c r="P117" s="5">
        <f>VLOOKUP(C117,'Durée de vie utile'!$B$15:$E$18,3,FALSE)</f>
        <v>100</v>
      </c>
      <c r="Q117" s="5">
        <f>VLOOKUP(C117,'Durée de vie utile'!$B$26:$E$29,4,FALSE)</f>
        <v>50</v>
      </c>
      <c r="R117" s="5">
        <f>VLOOKUP(C117,'Durée de vie utile'!$B$26:$E$29,3,FALSE)</f>
        <v>30</v>
      </c>
      <c r="S117" s="6">
        <f t="shared" si="17"/>
        <v>10354.716</v>
      </c>
      <c r="T117" s="6">
        <f>(N117/(1+'Autres hypothèses'!$D$5))*('Autres hypothèses'!$D$5/(((1+'Autres hypothèses'!$D$5)^Routes!P117-1)))</f>
        <v>6013.6736824129812</v>
      </c>
      <c r="U117" s="5">
        <v>1977</v>
      </c>
      <c r="V117" s="5">
        <f t="shared" si="9"/>
        <v>45</v>
      </c>
      <c r="W117" s="1">
        <f t="shared" si="10"/>
        <v>0.45</v>
      </c>
      <c r="X117" s="3">
        <f t="shared" si="11"/>
        <v>90</v>
      </c>
      <c r="Y117" s="3">
        <f t="shared" si="12"/>
        <v>110</v>
      </c>
    </row>
    <row r="118" spans="1:25" x14ac:dyDescent="0.25">
      <c r="A118" s="20" t="s">
        <v>588</v>
      </c>
      <c r="B118" s="5" t="s">
        <v>1724</v>
      </c>
      <c r="C118" s="5" t="s">
        <v>1725</v>
      </c>
      <c r="D118" s="5"/>
      <c r="E118" s="5"/>
      <c r="F118" s="5"/>
      <c r="G118" s="5">
        <v>6535.7</v>
      </c>
      <c r="H118" s="5">
        <v>444.8</v>
      </c>
      <c r="I118" s="19">
        <f>VLOOKUP("Couche de base",'Taux unitaires'!$B$9:$C$11,2,FALSE)</f>
        <v>200</v>
      </c>
      <c r="J118" s="19">
        <f>VLOOKUP("Revêtement de route",'Taux unitaires'!$B$9:$C$11,2,FALSE)</f>
        <v>101</v>
      </c>
      <c r="K118" s="19">
        <f t="shared" si="13"/>
        <v>1307140</v>
      </c>
      <c r="L118" s="19">
        <f t="shared" si="14"/>
        <v>660105.69999999995</v>
      </c>
      <c r="M118" s="19">
        <f t="shared" si="15"/>
        <v>1320211.3999999999</v>
      </c>
      <c r="N118" s="19">
        <f t="shared" si="16"/>
        <v>2627351.4</v>
      </c>
      <c r="O118" s="5">
        <f>VLOOKUP(C118,'Durée de vie utile'!$B$15:$E$18,4,FALSE)</f>
        <v>100</v>
      </c>
      <c r="P118" s="5">
        <f>VLOOKUP(C118,'Durée de vie utile'!$B$15:$E$18,3,FALSE)</f>
        <v>80</v>
      </c>
      <c r="Q118" s="5">
        <f>VLOOKUP(C118,'Durée de vie utile'!$B$26:$E$29,4,FALSE)</f>
        <v>40</v>
      </c>
      <c r="R118" s="5">
        <f>VLOOKUP(C118,'Durée de vie utile'!$B$26:$E$29,3,FALSE)</f>
        <v>25</v>
      </c>
      <c r="S118" s="6">
        <f t="shared" si="17"/>
        <v>32841.892500000002</v>
      </c>
      <c r="T118" s="6">
        <f>(N118/(1+'Autres hypothèses'!$D$5))*('Autres hypothèses'!$D$5/(((1+'Autres hypothèses'!$D$5)^Routes!P118-1)))</f>
        <v>21380.007277304023</v>
      </c>
      <c r="U118" s="5">
        <v>1985</v>
      </c>
      <c r="V118" s="5">
        <f t="shared" si="9"/>
        <v>37</v>
      </c>
      <c r="W118" s="1">
        <f t="shared" si="10"/>
        <v>0.46250000000000002</v>
      </c>
      <c r="X118" s="3">
        <f t="shared" si="11"/>
        <v>92.5</v>
      </c>
      <c r="Y118" s="3">
        <f t="shared" si="12"/>
        <v>107.5</v>
      </c>
    </row>
    <row r="119" spans="1:25" x14ac:dyDescent="0.25">
      <c r="A119" s="20" t="s">
        <v>589</v>
      </c>
      <c r="B119" s="5" t="s">
        <v>1726</v>
      </c>
      <c r="C119" s="5" t="s">
        <v>1727</v>
      </c>
      <c r="D119" s="5"/>
      <c r="E119" s="5"/>
      <c r="F119" s="5"/>
      <c r="G119" s="5">
        <v>1473.9949313300001</v>
      </c>
      <c r="H119" s="5">
        <v>175.17041205322499</v>
      </c>
      <c r="I119" s="19">
        <f>VLOOKUP("Couche de base",'Taux unitaires'!$B$9:$C$11,2,FALSE)</f>
        <v>200</v>
      </c>
      <c r="J119" s="19">
        <f>VLOOKUP("Revêtement de route",'Taux unitaires'!$B$9:$C$11,2,FALSE)</f>
        <v>101</v>
      </c>
      <c r="K119" s="19">
        <f t="shared" si="13"/>
        <v>294798.98626600002</v>
      </c>
      <c r="L119" s="19">
        <f t="shared" si="14"/>
        <v>148873.48806433001</v>
      </c>
      <c r="M119" s="19">
        <f t="shared" si="15"/>
        <v>297746.97612866003</v>
      </c>
      <c r="N119" s="19">
        <f t="shared" si="16"/>
        <v>592545.96239466011</v>
      </c>
      <c r="O119" s="5">
        <f>VLOOKUP(C119,'Durée de vie utile'!$B$15:$E$18,4,FALSE)</f>
        <v>125</v>
      </c>
      <c r="P119" s="5">
        <f>VLOOKUP(C119,'Durée de vie utile'!$B$15:$E$18,3,FALSE)</f>
        <v>100</v>
      </c>
      <c r="Q119" s="5">
        <f>VLOOKUP(C119,'Durée de vie utile'!$B$26:$E$29,4,FALSE)</f>
        <v>50</v>
      </c>
      <c r="R119" s="5">
        <f>VLOOKUP(C119,'Durée de vie utile'!$B$26:$E$29,3,FALSE)</f>
        <v>30</v>
      </c>
      <c r="S119" s="6">
        <f t="shared" si="17"/>
        <v>5925.4596239466009</v>
      </c>
      <c r="T119" s="6">
        <f>(N119/(1+'Autres hypothèses'!$D$5))*('Autres hypothèses'!$D$5/(((1+'Autres hypothèses'!$D$5)^Routes!P119-1)))</f>
        <v>3441.3093122716632</v>
      </c>
      <c r="U119" s="5">
        <v>1985</v>
      </c>
      <c r="V119" s="5">
        <f t="shared" si="9"/>
        <v>37</v>
      </c>
      <c r="W119" s="1">
        <f t="shared" si="10"/>
        <v>0.37</v>
      </c>
      <c r="X119" s="3">
        <f t="shared" si="11"/>
        <v>74</v>
      </c>
      <c r="Y119" s="3">
        <f t="shared" si="12"/>
        <v>126</v>
      </c>
    </row>
    <row r="120" spans="1:25" x14ac:dyDescent="0.25">
      <c r="A120" s="20" t="s">
        <v>590</v>
      </c>
      <c r="B120" s="5" t="s">
        <v>1728</v>
      </c>
      <c r="C120" s="5" t="s">
        <v>1729</v>
      </c>
      <c r="D120" s="5"/>
      <c r="E120" s="5"/>
      <c r="F120" s="5"/>
      <c r="G120" s="5">
        <v>983.5</v>
      </c>
      <c r="H120" s="5">
        <v>109.3</v>
      </c>
      <c r="I120" s="19">
        <f>VLOOKUP("Couche de base",'Taux unitaires'!$B$9:$C$11,2,FALSE)</f>
        <v>200</v>
      </c>
      <c r="J120" s="19">
        <f>VLOOKUP("Revêtement de route",'Taux unitaires'!$B$9:$C$11,2,FALSE)</f>
        <v>101</v>
      </c>
      <c r="K120" s="19">
        <f t="shared" si="13"/>
        <v>196700</v>
      </c>
      <c r="L120" s="19">
        <f t="shared" si="14"/>
        <v>99333.5</v>
      </c>
      <c r="M120" s="19">
        <f t="shared" si="15"/>
        <v>198667</v>
      </c>
      <c r="N120" s="19">
        <f t="shared" si="16"/>
        <v>395367</v>
      </c>
      <c r="O120" s="5">
        <f>VLOOKUP(C120,'Durée de vie utile'!$B$15:$E$18,4,FALSE)</f>
        <v>125</v>
      </c>
      <c r="P120" s="5">
        <f>VLOOKUP(C120,'Durée de vie utile'!$B$15:$E$18,3,FALSE)</f>
        <v>100</v>
      </c>
      <c r="Q120" s="5">
        <f>VLOOKUP(C120,'Durée de vie utile'!$B$26:$E$29,4,FALSE)</f>
        <v>50</v>
      </c>
      <c r="R120" s="5">
        <f>VLOOKUP(C120,'Durée de vie utile'!$B$26:$E$29,3,FALSE)</f>
        <v>30</v>
      </c>
      <c r="S120" s="6">
        <f t="shared" si="17"/>
        <v>3953.67</v>
      </c>
      <c r="T120" s="6">
        <f>(N120/(1+'Autres hypothèses'!$D$5))*('Autres hypothèses'!$D$5/(((1+'Autres hypothèses'!$D$5)^Routes!P120-1)))</f>
        <v>2296.1596656002662</v>
      </c>
      <c r="U120" s="5">
        <v>1985</v>
      </c>
      <c r="V120" s="5">
        <f t="shared" si="9"/>
        <v>37</v>
      </c>
      <c r="W120" s="1">
        <f t="shared" si="10"/>
        <v>0.37</v>
      </c>
      <c r="X120" s="3">
        <f t="shared" si="11"/>
        <v>74</v>
      </c>
      <c r="Y120" s="3">
        <f t="shared" si="12"/>
        <v>126</v>
      </c>
    </row>
    <row r="121" spans="1:25" x14ac:dyDescent="0.25">
      <c r="A121" s="20" t="s">
        <v>591</v>
      </c>
      <c r="B121" s="5" t="s">
        <v>1730</v>
      </c>
      <c r="C121" s="5" t="s">
        <v>1731</v>
      </c>
      <c r="D121" s="5"/>
      <c r="E121" s="5"/>
      <c r="F121" s="5"/>
      <c r="G121" s="5">
        <v>80.021318379999897</v>
      </c>
      <c r="H121" s="5">
        <v>18.7478517482458</v>
      </c>
      <c r="I121" s="19">
        <f>VLOOKUP("Couche de base",'Taux unitaires'!$B$9:$C$11,2,FALSE)</f>
        <v>200</v>
      </c>
      <c r="J121" s="19">
        <f>VLOOKUP("Revêtement de route",'Taux unitaires'!$B$9:$C$11,2,FALSE)</f>
        <v>101</v>
      </c>
      <c r="K121" s="19">
        <f t="shared" si="13"/>
        <v>16004.263675999979</v>
      </c>
      <c r="L121" s="19">
        <f t="shared" si="14"/>
        <v>8082.1531563799899</v>
      </c>
      <c r="M121" s="19">
        <f t="shared" si="15"/>
        <v>16164.30631275998</v>
      </c>
      <c r="N121" s="19">
        <f t="shared" si="16"/>
        <v>32168.569988759959</v>
      </c>
      <c r="O121" s="5">
        <f>VLOOKUP(C121,'Durée de vie utile'!$B$15:$E$18,4,FALSE)</f>
        <v>125</v>
      </c>
      <c r="P121" s="5">
        <f>VLOOKUP(C121,'Durée de vie utile'!$B$15:$E$18,3,FALSE)</f>
        <v>100</v>
      </c>
      <c r="Q121" s="5">
        <f>VLOOKUP(C121,'Durée de vie utile'!$B$26:$E$29,4,FALSE)</f>
        <v>50</v>
      </c>
      <c r="R121" s="5">
        <f>VLOOKUP(C121,'Durée de vie utile'!$B$26:$E$29,3,FALSE)</f>
        <v>30</v>
      </c>
      <c r="S121" s="6">
        <f t="shared" si="17"/>
        <v>321.68569988759958</v>
      </c>
      <c r="T121" s="6">
        <f>(N121/(1+'Autres hypothèses'!$D$5))*('Autres hypothèses'!$D$5/(((1+'Autres hypothèses'!$D$5)^Routes!P121-1)))</f>
        <v>186.82432501506153</v>
      </c>
      <c r="U121" s="5">
        <v>1986</v>
      </c>
      <c r="V121" s="5">
        <f t="shared" si="9"/>
        <v>36</v>
      </c>
      <c r="W121" s="1">
        <f t="shared" si="10"/>
        <v>0.36</v>
      </c>
      <c r="X121" s="3">
        <f t="shared" si="11"/>
        <v>72</v>
      </c>
      <c r="Y121" s="3">
        <f t="shared" si="12"/>
        <v>128</v>
      </c>
    </row>
    <row r="122" spans="1:25" x14ac:dyDescent="0.25">
      <c r="A122" s="20" t="s">
        <v>592</v>
      </c>
      <c r="B122" s="5" t="s">
        <v>1732</v>
      </c>
      <c r="C122" s="5" t="s">
        <v>1733</v>
      </c>
      <c r="D122" s="5"/>
      <c r="E122" s="5"/>
      <c r="F122" s="5"/>
      <c r="G122" s="5">
        <v>2678.8217294199899</v>
      </c>
      <c r="H122" s="5">
        <v>382.023272823784</v>
      </c>
      <c r="I122" s="19">
        <f>VLOOKUP("Couche de base",'Taux unitaires'!$B$9:$C$11,2,FALSE)</f>
        <v>200</v>
      </c>
      <c r="J122" s="19">
        <f>VLOOKUP("Revêtement de route",'Taux unitaires'!$B$9:$C$11,2,FALSE)</f>
        <v>101</v>
      </c>
      <c r="K122" s="19">
        <f t="shared" si="13"/>
        <v>535764.34588399797</v>
      </c>
      <c r="L122" s="19">
        <f t="shared" si="14"/>
        <v>270560.99467141897</v>
      </c>
      <c r="M122" s="19">
        <f t="shared" si="15"/>
        <v>541121.98934283794</v>
      </c>
      <c r="N122" s="19">
        <f t="shared" si="16"/>
        <v>1076886.3352268359</v>
      </c>
      <c r="O122" s="5">
        <f>VLOOKUP(C122,'Durée de vie utile'!$B$15:$E$18,4,FALSE)</f>
        <v>100</v>
      </c>
      <c r="P122" s="5">
        <f>VLOOKUP(C122,'Durée de vie utile'!$B$15:$E$18,3,FALSE)</f>
        <v>80</v>
      </c>
      <c r="Q122" s="5">
        <f>VLOOKUP(C122,'Durée de vie utile'!$B$26:$E$29,4,FALSE)</f>
        <v>40</v>
      </c>
      <c r="R122" s="5">
        <f>VLOOKUP(C122,'Durée de vie utile'!$B$26:$E$29,3,FALSE)</f>
        <v>25</v>
      </c>
      <c r="S122" s="6">
        <f t="shared" si="17"/>
        <v>13461.079190335449</v>
      </c>
      <c r="T122" s="6">
        <f>(N122/(1+'Autres hypothèses'!$D$5))*('Autres hypothèses'!$D$5/(((1+'Autres hypothèses'!$D$5)^Routes!P122-1)))</f>
        <v>8763.1360175037935</v>
      </c>
      <c r="U122" s="5">
        <v>1986</v>
      </c>
      <c r="V122" s="5">
        <f t="shared" si="9"/>
        <v>36</v>
      </c>
      <c r="W122" s="1">
        <f t="shared" si="10"/>
        <v>0.45</v>
      </c>
      <c r="X122" s="3">
        <f t="shared" si="11"/>
        <v>90</v>
      </c>
      <c r="Y122" s="3">
        <f t="shared" si="12"/>
        <v>110</v>
      </c>
    </row>
    <row r="123" spans="1:25" x14ac:dyDescent="0.25">
      <c r="A123" s="20" t="s">
        <v>593</v>
      </c>
      <c r="B123" s="5" t="s">
        <v>1734</v>
      </c>
      <c r="C123" s="5" t="s">
        <v>1735</v>
      </c>
      <c r="D123" s="5"/>
      <c r="E123" s="5"/>
      <c r="F123" s="5"/>
      <c r="G123" s="5">
        <v>352.89601467</v>
      </c>
      <c r="H123" s="5">
        <v>40.051866023395199</v>
      </c>
      <c r="I123" s="19">
        <f>VLOOKUP("Couche de base",'Taux unitaires'!$B$9:$C$11,2,FALSE)</f>
        <v>200</v>
      </c>
      <c r="J123" s="19">
        <f>VLOOKUP("Revêtement de route",'Taux unitaires'!$B$9:$C$11,2,FALSE)</f>
        <v>101</v>
      </c>
      <c r="K123" s="19">
        <f t="shared" si="13"/>
        <v>70579.202934000001</v>
      </c>
      <c r="L123" s="19">
        <f t="shared" si="14"/>
        <v>35642.497481669998</v>
      </c>
      <c r="M123" s="19">
        <f t="shared" si="15"/>
        <v>71284.994963339996</v>
      </c>
      <c r="N123" s="19">
        <f t="shared" si="16"/>
        <v>141864.19789734</v>
      </c>
      <c r="O123" s="5">
        <f>VLOOKUP(C123,'Durée de vie utile'!$B$15:$E$18,4,FALSE)</f>
        <v>125</v>
      </c>
      <c r="P123" s="5">
        <f>VLOOKUP(C123,'Durée de vie utile'!$B$15:$E$18,3,FALSE)</f>
        <v>100</v>
      </c>
      <c r="Q123" s="5">
        <f>VLOOKUP(C123,'Durée de vie utile'!$B$26:$E$29,4,FALSE)</f>
        <v>50</v>
      </c>
      <c r="R123" s="5">
        <f>VLOOKUP(C123,'Durée de vie utile'!$B$26:$E$29,3,FALSE)</f>
        <v>30</v>
      </c>
      <c r="S123" s="6">
        <f t="shared" si="17"/>
        <v>1418.6419789734</v>
      </c>
      <c r="T123" s="6">
        <f>(N123/(1+'Autres hypothèses'!$D$5))*('Autres hypothèses'!$D$5/(((1+'Autres hypothèses'!$D$5)^Routes!P123-1)))</f>
        <v>823.89994411421844</v>
      </c>
      <c r="U123" s="5">
        <v>1986</v>
      </c>
      <c r="V123" s="5">
        <f t="shared" si="9"/>
        <v>36</v>
      </c>
      <c r="W123" s="1">
        <f t="shared" si="10"/>
        <v>0.36</v>
      </c>
      <c r="X123" s="3">
        <f t="shared" si="11"/>
        <v>72</v>
      </c>
      <c r="Y123" s="3">
        <f t="shared" si="12"/>
        <v>128</v>
      </c>
    </row>
    <row r="124" spans="1:25" x14ac:dyDescent="0.25">
      <c r="A124" s="20" t="s">
        <v>594</v>
      </c>
      <c r="B124" s="5" t="s">
        <v>1736</v>
      </c>
      <c r="C124" s="5" t="s">
        <v>1737</v>
      </c>
      <c r="D124" s="5"/>
      <c r="E124" s="5"/>
      <c r="F124" s="5"/>
      <c r="G124" s="5">
        <v>751.25744177000001</v>
      </c>
      <c r="H124" s="5">
        <v>84.677814737815396</v>
      </c>
      <c r="I124" s="19">
        <f>VLOOKUP("Couche de base",'Taux unitaires'!$B$9:$C$11,2,FALSE)</f>
        <v>200</v>
      </c>
      <c r="J124" s="19">
        <f>VLOOKUP("Revêtement de route",'Taux unitaires'!$B$9:$C$11,2,FALSE)</f>
        <v>101</v>
      </c>
      <c r="K124" s="19">
        <f t="shared" si="13"/>
        <v>150251.488354</v>
      </c>
      <c r="L124" s="19">
        <f t="shared" si="14"/>
        <v>75877.001618769995</v>
      </c>
      <c r="M124" s="19">
        <f t="shared" si="15"/>
        <v>151754.00323753999</v>
      </c>
      <c r="N124" s="19">
        <f t="shared" si="16"/>
        <v>302005.49159153999</v>
      </c>
      <c r="O124" s="5">
        <f>VLOOKUP(C124,'Durée de vie utile'!$B$15:$E$18,4,FALSE)</f>
        <v>125</v>
      </c>
      <c r="P124" s="5">
        <f>VLOOKUP(C124,'Durée de vie utile'!$B$15:$E$18,3,FALSE)</f>
        <v>100</v>
      </c>
      <c r="Q124" s="5">
        <f>VLOOKUP(C124,'Durée de vie utile'!$B$26:$E$29,4,FALSE)</f>
        <v>50</v>
      </c>
      <c r="R124" s="5">
        <f>VLOOKUP(C124,'Durée de vie utile'!$B$26:$E$29,3,FALSE)</f>
        <v>30</v>
      </c>
      <c r="S124" s="6">
        <f t="shared" si="17"/>
        <v>3020.0549159153998</v>
      </c>
      <c r="T124" s="6">
        <f>(N124/(1+'Autres hypothèses'!$D$5))*('Autres hypothèses'!$D$5/(((1+'Autres hypothèses'!$D$5)^Routes!P124-1)))</f>
        <v>1753.9471644883729</v>
      </c>
      <c r="U124" s="5">
        <v>1987</v>
      </c>
      <c r="V124" s="5">
        <f t="shared" si="9"/>
        <v>35</v>
      </c>
      <c r="W124" s="1">
        <f t="shared" si="10"/>
        <v>0.35</v>
      </c>
      <c r="X124" s="3">
        <f t="shared" si="11"/>
        <v>70</v>
      </c>
      <c r="Y124" s="3">
        <f t="shared" si="12"/>
        <v>130</v>
      </c>
    </row>
    <row r="125" spans="1:25" x14ac:dyDescent="0.25">
      <c r="A125" s="20" t="s">
        <v>595</v>
      </c>
      <c r="B125" s="5" t="s">
        <v>1738</v>
      </c>
      <c r="C125" s="5" t="s">
        <v>1739</v>
      </c>
      <c r="D125" s="5"/>
      <c r="E125" s="5"/>
      <c r="F125" s="5"/>
      <c r="G125" s="5">
        <v>905.33816836000005</v>
      </c>
      <c r="H125" s="5">
        <v>115.99645280238001</v>
      </c>
      <c r="I125" s="19">
        <f>VLOOKUP("Couche de base",'Taux unitaires'!$B$9:$C$11,2,FALSE)</f>
        <v>200</v>
      </c>
      <c r="J125" s="19">
        <f>VLOOKUP("Revêtement de route",'Taux unitaires'!$B$9:$C$11,2,FALSE)</f>
        <v>101</v>
      </c>
      <c r="K125" s="19">
        <f t="shared" si="13"/>
        <v>181067.63367200003</v>
      </c>
      <c r="L125" s="19">
        <f t="shared" si="14"/>
        <v>91439.15500436</v>
      </c>
      <c r="M125" s="19">
        <f t="shared" si="15"/>
        <v>182878.31000872</v>
      </c>
      <c r="N125" s="19">
        <f t="shared" si="16"/>
        <v>363945.94368072005</v>
      </c>
      <c r="O125" s="5">
        <f>VLOOKUP(C125,'Durée de vie utile'!$B$15:$E$18,4,FALSE)</f>
        <v>125</v>
      </c>
      <c r="P125" s="5">
        <f>VLOOKUP(C125,'Durée de vie utile'!$B$15:$E$18,3,FALSE)</f>
        <v>100</v>
      </c>
      <c r="Q125" s="5">
        <f>VLOOKUP(C125,'Durée de vie utile'!$B$26:$E$29,4,FALSE)</f>
        <v>50</v>
      </c>
      <c r="R125" s="5">
        <f>VLOOKUP(C125,'Durée de vie utile'!$B$26:$E$29,3,FALSE)</f>
        <v>30</v>
      </c>
      <c r="S125" s="6">
        <f t="shared" si="17"/>
        <v>3639.4594368072007</v>
      </c>
      <c r="T125" s="6">
        <f>(N125/(1+'Autres hypothèses'!$D$5))*('Autres hypothèses'!$D$5/(((1+'Autres hypothèses'!$D$5)^Routes!P125-1)))</f>
        <v>2113.6766506524204</v>
      </c>
      <c r="U125" s="5">
        <v>1979</v>
      </c>
      <c r="V125" s="5">
        <f t="shared" si="9"/>
        <v>43</v>
      </c>
      <c r="W125" s="1">
        <f t="shared" si="10"/>
        <v>0.43</v>
      </c>
      <c r="X125" s="3">
        <f t="shared" si="11"/>
        <v>86</v>
      </c>
      <c r="Y125" s="3">
        <f t="shared" si="12"/>
        <v>114</v>
      </c>
    </row>
    <row r="126" spans="1:25" x14ac:dyDescent="0.25">
      <c r="A126" s="20" t="s">
        <v>596</v>
      </c>
      <c r="B126" s="5" t="s">
        <v>1740</v>
      </c>
      <c r="C126" s="5" t="s">
        <v>1741</v>
      </c>
      <c r="D126" s="5"/>
      <c r="E126" s="5"/>
      <c r="F126" s="5"/>
      <c r="G126" s="5">
        <v>618.1</v>
      </c>
      <c r="H126" s="5">
        <v>48.3</v>
      </c>
      <c r="I126" s="19">
        <f>VLOOKUP("Couche de base",'Taux unitaires'!$B$9:$C$11,2,FALSE)</f>
        <v>200</v>
      </c>
      <c r="J126" s="19">
        <f>VLOOKUP("Revêtement de route",'Taux unitaires'!$B$9:$C$11,2,FALSE)</f>
        <v>101</v>
      </c>
      <c r="K126" s="19">
        <f t="shared" si="13"/>
        <v>123620</v>
      </c>
      <c r="L126" s="19">
        <f t="shared" si="14"/>
        <v>62428.100000000006</v>
      </c>
      <c r="M126" s="19">
        <f t="shared" si="15"/>
        <v>124856.20000000001</v>
      </c>
      <c r="N126" s="19">
        <f t="shared" si="16"/>
        <v>248476.2</v>
      </c>
      <c r="O126" s="5">
        <f>VLOOKUP(C126,'Durée de vie utile'!$B$15:$E$18,4,FALSE)</f>
        <v>100</v>
      </c>
      <c r="P126" s="5">
        <f>VLOOKUP(C126,'Durée de vie utile'!$B$15:$E$18,3,FALSE)</f>
        <v>80</v>
      </c>
      <c r="Q126" s="5">
        <f>VLOOKUP(C126,'Durée de vie utile'!$B$26:$E$29,4,FALSE)</f>
        <v>40</v>
      </c>
      <c r="R126" s="5">
        <f>VLOOKUP(C126,'Durée de vie utile'!$B$26:$E$29,3,FALSE)</f>
        <v>25</v>
      </c>
      <c r="S126" s="6">
        <f t="shared" si="17"/>
        <v>3105.9525000000003</v>
      </c>
      <c r="T126" s="6">
        <f>(N126/(1+'Autres hypothèses'!$D$5))*('Autres hypothèses'!$D$5/(((1+'Autres hypothèses'!$D$5)^Routes!P126-1)))</f>
        <v>2021.9689548329361</v>
      </c>
      <c r="U126" s="5">
        <v>1987</v>
      </c>
      <c r="V126" s="5">
        <f t="shared" si="9"/>
        <v>35</v>
      </c>
      <c r="W126" s="1">
        <f t="shared" si="10"/>
        <v>0.4375</v>
      </c>
      <c r="X126" s="3">
        <f t="shared" si="11"/>
        <v>87.5</v>
      </c>
      <c r="Y126" s="3">
        <f t="shared" si="12"/>
        <v>112.5</v>
      </c>
    </row>
    <row r="127" spans="1:25" x14ac:dyDescent="0.25">
      <c r="A127" s="20" t="s">
        <v>597</v>
      </c>
      <c r="B127" s="5" t="s">
        <v>1742</v>
      </c>
      <c r="C127" s="5" t="s">
        <v>1743</v>
      </c>
      <c r="D127" s="5"/>
      <c r="E127" s="5"/>
      <c r="F127" s="5"/>
      <c r="G127" s="5">
        <v>3155.9</v>
      </c>
      <c r="H127" s="5">
        <v>274.60000000000002</v>
      </c>
      <c r="I127" s="19">
        <f>VLOOKUP("Couche de base",'Taux unitaires'!$B$9:$C$11,2,FALSE)</f>
        <v>200</v>
      </c>
      <c r="J127" s="19">
        <f>VLOOKUP("Revêtement de route",'Taux unitaires'!$B$9:$C$11,2,FALSE)</f>
        <v>101</v>
      </c>
      <c r="K127" s="19">
        <f t="shared" si="13"/>
        <v>631180</v>
      </c>
      <c r="L127" s="19">
        <f t="shared" si="14"/>
        <v>318745.90000000002</v>
      </c>
      <c r="M127" s="19">
        <f t="shared" si="15"/>
        <v>637491.80000000005</v>
      </c>
      <c r="N127" s="19">
        <f t="shared" si="16"/>
        <v>1268671.8</v>
      </c>
      <c r="O127" s="5">
        <f>VLOOKUP(C127,'Durée de vie utile'!$B$15:$E$18,4,FALSE)</f>
        <v>125</v>
      </c>
      <c r="P127" s="5">
        <f>VLOOKUP(C127,'Durée de vie utile'!$B$15:$E$18,3,FALSE)</f>
        <v>100</v>
      </c>
      <c r="Q127" s="5">
        <f>VLOOKUP(C127,'Durée de vie utile'!$B$26:$E$29,4,FALSE)</f>
        <v>50</v>
      </c>
      <c r="R127" s="5">
        <f>VLOOKUP(C127,'Durée de vie utile'!$B$26:$E$29,3,FALSE)</f>
        <v>30</v>
      </c>
      <c r="S127" s="6">
        <f t="shared" si="17"/>
        <v>12686.718000000001</v>
      </c>
      <c r="T127" s="6">
        <f>(N127/(1+'Autres hypothèses'!$D$5))*('Autres hypothèses'!$D$5/(((1+'Autres hypothèses'!$D$5)^Routes!P127-1)))</f>
        <v>7368.0226626007943</v>
      </c>
      <c r="U127" s="5">
        <v>1979</v>
      </c>
      <c r="V127" s="5">
        <f t="shared" si="9"/>
        <v>43</v>
      </c>
      <c r="W127" s="1">
        <f t="shared" si="10"/>
        <v>0.43</v>
      </c>
      <c r="X127" s="3">
        <f t="shared" si="11"/>
        <v>86</v>
      </c>
      <c r="Y127" s="3">
        <f t="shared" si="12"/>
        <v>114</v>
      </c>
    </row>
    <row r="128" spans="1:25" x14ac:dyDescent="0.25">
      <c r="A128" s="20" t="s">
        <v>598</v>
      </c>
      <c r="B128" s="5" t="s">
        <v>1744</v>
      </c>
      <c r="C128" s="5" t="s">
        <v>1745</v>
      </c>
      <c r="D128" s="5"/>
      <c r="E128" s="5"/>
      <c r="F128" s="5"/>
      <c r="G128" s="5">
        <v>492.40293629000001</v>
      </c>
      <c r="H128" s="5">
        <v>49.240293629488299</v>
      </c>
      <c r="I128" s="19">
        <f>VLOOKUP("Couche de base",'Taux unitaires'!$B$9:$C$11,2,FALSE)</f>
        <v>200</v>
      </c>
      <c r="J128" s="19">
        <f>VLOOKUP("Revêtement de route",'Taux unitaires'!$B$9:$C$11,2,FALSE)</f>
        <v>101</v>
      </c>
      <c r="K128" s="19">
        <f t="shared" si="13"/>
        <v>98480.587258</v>
      </c>
      <c r="L128" s="19">
        <f t="shared" si="14"/>
        <v>49732.696565290003</v>
      </c>
      <c r="M128" s="19">
        <f t="shared" si="15"/>
        <v>99465.393130580007</v>
      </c>
      <c r="N128" s="19">
        <f t="shared" si="16"/>
        <v>197945.98038858001</v>
      </c>
      <c r="O128" s="5">
        <f>VLOOKUP(C128,'Durée de vie utile'!$B$15:$E$18,4,FALSE)</f>
        <v>125</v>
      </c>
      <c r="P128" s="5">
        <f>VLOOKUP(C128,'Durée de vie utile'!$B$15:$E$18,3,FALSE)</f>
        <v>100</v>
      </c>
      <c r="Q128" s="5">
        <f>VLOOKUP(C128,'Durée de vie utile'!$B$26:$E$29,4,FALSE)</f>
        <v>50</v>
      </c>
      <c r="R128" s="5">
        <f>VLOOKUP(C128,'Durée de vie utile'!$B$26:$E$29,3,FALSE)</f>
        <v>30</v>
      </c>
      <c r="S128" s="6">
        <f t="shared" si="17"/>
        <v>1979.4598038858001</v>
      </c>
      <c r="T128" s="6">
        <f>(N128/(1+'Autres hypothèses'!$D$5))*('Autres hypothèses'!$D$5/(((1+'Autres hypothèses'!$D$5)^Routes!P128-1)))</f>
        <v>1149.6042313495025</v>
      </c>
      <c r="U128" s="5">
        <v>1979</v>
      </c>
      <c r="V128" s="5">
        <f t="shared" si="9"/>
        <v>43</v>
      </c>
      <c r="W128" s="1">
        <f t="shared" si="10"/>
        <v>0.43</v>
      </c>
      <c r="X128" s="3">
        <f t="shared" si="11"/>
        <v>86</v>
      </c>
      <c r="Y128" s="3">
        <f t="shared" si="12"/>
        <v>114</v>
      </c>
    </row>
    <row r="129" spans="1:25" x14ac:dyDescent="0.25">
      <c r="A129" s="20" t="s">
        <v>599</v>
      </c>
      <c r="B129" s="5" t="s">
        <v>1746</v>
      </c>
      <c r="C129" s="5" t="s">
        <v>1747</v>
      </c>
      <c r="D129" s="5"/>
      <c r="E129" s="5"/>
      <c r="F129" s="5"/>
      <c r="G129" s="5">
        <v>580.5</v>
      </c>
      <c r="H129" s="5">
        <v>48.3</v>
      </c>
      <c r="I129" s="19">
        <f>VLOOKUP("Couche de base",'Taux unitaires'!$B$9:$C$11,2,FALSE)</f>
        <v>200</v>
      </c>
      <c r="J129" s="19">
        <f>VLOOKUP("Revêtement de route",'Taux unitaires'!$B$9:$C$11,2,FALSE)</f>
        <v>101</v>
      </c>
      <c r="K129" s="19">
        <f t="shared" si="13"/>
        <v>116100</v>
      </c>
      <c r="L129" s="19">
        <f t="shared" si="14"/>
        <v>58630.5</v>
      </c>
      <c r="M129" s="19">
        <f t="shared" si="15"/>
        <v>117261</v>
      </c>
      <c r="N129" s="19">
        <f t="shared" si="16"/>
        <v>233361</v>
      </c>
      <c r="O129" s="5">
        <f>VLOOKUP(C129,'Durée de vie utile'!$B$15:$E$18,4,FALSE)</f>
        <v>125</v>
      </c>
      <c r="P129" s="5">
        <f>VLOOKUP(C129,'Durée de vie utile'!$B$15:$E$18,3,FALSE)</f>
        <v>100</v>
      </c>
      <c r="Q129" s="5">
        <f>VLOOKUP(C129,'Durée de vie utile'!$B$26:$E$29,4,FALSE)</f>
        <v>50</v>
      </c>
      <c r="R129" s="5">
        <f>VLOOKUP(C129,'Durée de vie utile'!$B$26:$E$29,3,FALSE)</f>
        <v>30</v>
      </c>
      <c r="S129" s="6">
        <f t="shared" si="17"/>
        <v>2333.61</v>
      </c>
      <c r="T129" s="6">
        <f>(N129/(1+'Autres hypothèses'!$D$5))*('Autres hypothèses'!$D$5/(((1+'Autres hypothèses'!$D$5)^Routes!P129-1)))</f>
        <v>1355.2828529547073</v>
      </c>
      <c r="U129" s="5">
        <v>1979</v>
      </c>
      <c r="V129" s="5">
        <f t="shared" si="9"/>
        <v>43</v>
      </c>
      <c r="W129" s="1">
        <f t="shared" si="10"/>
        <v>0.43</v>
      </c>
      <c r="X129" s="3">
        <f t="shared" si="11"/>
        <v>86</v>
      </c>
      <c r="Y129" s="3">
        <f t="shared" si="12"/>
        <v>114</v>
      </c>
    </row>
    <row r="130" spans="1:25" x14ac:dyDescent="0.25">
      <c r="A130" s="20" t="s">
        <v>600</v>
      </c>
      <c r="B130" s="5" t="s">
        <v>1748</v>
      </c>
      <c r="C130" s="5" t="s">
        <v>1749</v>
      </c>
      <c r="D130" s="5"/>
      <c r="E130" s="5"/>
      <c r="F130" s="5"/>
      <c r="G130" s="5">
        <v>3201.2</v>
      </c>
      <c r="H130" s="5">
        <v>410.2</v>
      </c>
      <c r="I130" s="19">
        <f>VLOOKUP("Couche de base",'Taux unitaires'!$B$9:$C$11,2,FALSE)</f>
        <v>200</v>
      </c>
      <c r="J130" s="19">
        <f>VLOOKUP("Revêtement de route",'Taux unitaires'!$B$9:$C$11,2,FALSE)</f>
        <v>101</v>
      </c>
      <c r="K130" s="19">
        <f t="shared" si="13"/>
        <v>640240</v>
      </c>
      <c r="L130" s="19">
        <f t="shared" si="14"/>
        <v>323321.19999999995</v>
      </c>
      <c r="M130" s="19">
        <f t="shared" si="15"/>
        <v>646642.39999999991</v>
      </c>
      <c r="N130" s="19">
        <f t="shared" si="16"/>
        <v>1286882.3999999999</v>
      </c>
      <c r="O130" s="5">
        <f>VLOOKUP(C130,'Durée de vie utile'!$B$15:$E$18,4,FALSE)</f>
        <v>100</v>
      </c>
      <c r="P130" s="5">
        <f>VLOOKUP(C130,'Durée de vie utile'!$B$15:$E$18,3,FALSE)</f>
        <v>80</v>
      </c>
      <c r="Q130" s="5">
        <f>VLOOKUP(C130,'Durée de vie utile'!$B$26:$E$29,4,FALSE)</f>
        <v>40</v>
      </c>
      <c r="R130" s="5">
        <f>VLOOKUP(C130,'Durée de vie utile'!$B$26:$E$29,3,FALSE)</f>
        <v>25</v>
      </c>
      <c r="S130" s="6">
        <f t="shared" si="17"/>
        <v>16086.029999999999</v>
      </c>
      <c r="T130" s="6">
        <f>(N130/(1+'Autres hypothèses'!$D$5))*('Autres hypothèses'!$D$5/(((1+'Autres hypothèses'!$D$5)^Routes!P130-1)))</f>
        <v>10471.973820111947</v>
      </c>
      <c r="U130" s="5">
        <v>1987</v>
      </c>
      <c r="V130" s="5">
        <f t="shared" ref="V130:V193" si="18">2022-U130</f>
        <v>35</v>
      </c>
      <c r="W130" s="1">
        <f t="shared" ref="W130:W193" si="19">V130/P130</f>
        <v>0.4375</v>
      </c>
      <c r="X130" s="3">
        <f t="shared" ref="X130:X193" si="20">W130*I130</f>
        <v>87.5</v>
      </c>
      <c r="Y130" s="3">
        <f t="shared" ref="Y130:Y193" si="21">I130-X130</f>
        <v>112.5</v>
      </c>
    </row>
    <row r="131" spans="1:25" x14ac:dyDescent="0.25">
      <c r="A131" s="20" t="s">
        <v>601</v>
      </c>
      <c r="B131" s="5" t="s">
        <v>1750</v>
      </c>
      <c r="C131" s="5" t="s">
        <v>1751</v>
      </c>
      <c r="D131" s="5"/>
      <c r="E131" s="5"/>
      <c r="F131" s="5"/>
      <c r="G131" s="5">
        <v>1283.7</v>
      </c>
      <c r="H131" s="5">
        <v>139.4</v>
      </c>
      <c r="I131" s="19">
        <f>VLOOKUP("Couche de base",'Taux unitaires'!$B$9:$C$11,2,FALSE)</f>
        <v>200</v>
      </c>
      <c r="J131" s="19">
        <f>VLOOKUP("Revêtement de route",'Taux unitaires'!$B$9:$C$11,2,FALSE)</f>
        <v>101</v>
      </c>
      <c r="K131" s="19">
        <f t="shared" ref="K131:K194" si="22">I131*G131</f>
        <v>256740</v>
      </c>
      <c r="L131" s="19">
        <f t="shared" ref="L131:L194" si="23">J131*G131</f>
        <v>129653.70000000001</v>
      </c>
      <c r="M131" s="19">
        <f t="shared" ref="M131:M194" si="24">(ROUNDDOWN(P131/R131,0)-1)*L131</f>
        <v>259307.40000000002</v>
      </c>
      <c r="N131" s="19">
        <f t="shared" ref="N131:N194" si="25">K131+M131</f>
        <v>516047.4</v>
      </c>
      <c r="O131" s="5">
        <f>VLOOKUP(C131,'Durée de vie utile'!$B$15:$E$18,4,FALSE)</f>
        <v>125</v>
      </c>
      <c r="P131" s="5">
        <f>VLOOKUP(C131,'Durée de vie utile'!$B$15:$E$18,3,FALSE)</f>
        <v>100</v>
      </c>
      <c r="Q131" s="5">
        <f>VLOOKUP(C131,'Durée de vie utile'!$B$26:$E$29,4,FALSE)</f>
        <v>50</v>
      </c>
      <c r="R131" s="5">
        <f>VLOOKUP(C131,'Durée de vie utile'!$B$26:$E$29,3,FALSE)</f>
        <v>30</v>
      </c>
      <c r="S131" s="6">
        <f t="shared" ref="S131:S194" si="26">N131/P131</f>
        <v>5160.4740000000002</v>
      </c>
      <c r="T131" s="6">
        <f>(N131/(1+'Autres hypothèses'!$D$5))*('Autres hypothèses'!$D$5/(((1+'Autres hypothèses'!$D$5)^Routes!P131-1)))</f>
        <v>2997.0311771541051</v>
      </c>
      <c r="U131" s="5">
        <v>1988</v>
      </c>
      <c r="V131" s="5">
        <f t="shared" si="18"/>
        <v>34</v>
      </c>
      <c r="W131" s="1">
        <f t="shared" si="19"/>
        <v>0.34</v>
      </c>
      <c r="X131" s="3">
        <f t="shared" si="20"/>
        <v>68</v>
      </c>
      <c r="Y131" s="3">
        <f t="shared" si="21"/>
        <v>132</v>
      </c>
    </row>
    <row r="132" spans="1:25" x14ac:dyDescent="0.25">
      <c r="A132" s="20" t="s">
        <v>602</v>
      </c>
      <c r="B132" s="5" t="s">
        <v>1752</v>
      </c>
      <c r="C132" s="5" t="s">
        <v>1753</v>
      </c>
      <c r="D132" s="5"/>
      <c r="E132" s="5"/>
      <c r="F132" s="5"/>
      <c r="G132" s="5">
        <v>1824.4391710899899</v>
      </c>
      <c r="H132" s="5">
        <v>133.27751628673701</v>
      </c>
      <c r="I132" s="19">
        <f>VLOOKUP("Couche de base",'Taux unitaires'!$B$9:$C$11,2,FALSE)</f>
        <v>200</v>
      </c>
      <c r="J132" s="19">
        <f>VLOOKUP("Revêtement de route",'Taux unitaires'!$B$9:$C$11,2,FALSE)</f>
        <v>101</v>
      </c>
      <c r="K132" s="19">
        <f t="shared" si="22"/>
        <v>364887.83421799797</v>
      </c>
      <c r="L132" s="19">
        <f t="shared" si="23"/>
        <v>184268.35628008898</v>
      </c>
      <c r="M132" s="19">
        <f t="shared" si="24"/>
        <v>368536.71256017796</v>
      </c>
      <c r="N132" s="19">
        <f t="shared" si="25"/>
        <v>733424.54677817598</v>
      </c>
      <c r="O132" s="5">
        <f>VLOOKUP(C132,'Durée de vie utile'!$B$15:$E$18,4,FALSE)</f>
        <v>125</v>
      </c>
      <c r="P132" s="5">
        <f>VLOOKUP(C132,'Durée de vie utile'!$B$15:$E$18,3,FALSE)</f>
        <v>100</v>
      </c>
      <c r="Q132" s="5">
        <f>VLOOKUP(C132,'Durée de vie utile'!$B$26:$E$29,4,FALSE)</f>
        <v>50</v>
      </c>
      <c r="R132" s="5">
        <f>VLOOKUP(C132,'Durée de vie utile'!$B$26:$E$29,3,FALSE)</f>
        <v>30</v>
      </c>
      <c r="S132" s="6">
        <f t="shared" si="26"/>
        <v>7334.2454677817595</v>
      </c>
      <c r="T132" s="6">
        <f>(N132/(1+'Autres hypothèses'!$D$5))*('Autres hypothèses'!$D$5/(((1+'Autres hypothèses'!$D$5)^Routes!P132-1)))</f>
        <v>4259.4851418383514</v>
      </c>
      <c r="U132" s="5">
        <v>1988</v>
      </c>
      <c r="V132" s="5">
        <f t="shared" si="18"/>
        <v>34</v>
      </c>
      <c r="W132" s="1">
        <f t="shared" si="19"/>
        <v>0.34</v>
      </c>
      <c r="X132" s="3">
        <f t="shared" si="20"/>
        <v>68</v>
      </c>
      <c r="Y132" s="3">
        <f t="shared" si="21"/>
        <v>132</v>
      </c>
    </row>
    <row r="133" spans="1:25" x14ac:dyDescent="0.25">
      <c r="A133" s="20" t="s">
        <v>603</v>
      </c>
      <c r="B133" s="5" t="s">
        <v>1754</v>
      </c>
      <c r="C133" s="5" t="s">
        <v>1755</v>
      </c>
      <c r="D133" s="5"/>
      <c r="E133" s="5"/>
      <c r="F133" s="5"/>
      <c r="G133" s="5">
        <v>2342</v>
      </c>
      <c r="H133" s="5">
        <v>153</v>
      </c>
      <c r="I133" s="19">
        <f>VLOOKUP("Couche de base",'Taux unitaires'!$B$9:$C$11,2,FALSE)</f>
        <v>200</v>
      </c>
      <c r="J133" s="19">
        <f>VLOOKUP("Revêtement de route",'Taux unitaires'!$B$9:$C$11,2,FALSE)</f>
        <v>101</v>
      </c>
      <c r="K133" s="19">
        <f t="shared" si="22"/>
        <v>468400</v>
      </c>
      <c r="L133" s="19">
        <f t="shared" si="23"/>
        <v>236542</v>
      </c>
      <c r="M133" s="19">
        <f t="shared" si="24"/>
        <v>473084</v>
      </c>
      <c r="N133" s="19">
        <f t="shared" si="25"/>
        <v>941484</v>
      </c>
      <c r="O133" s="5">
        <f>VLOOKUP(C133,'Durée de vie utile'!$B$15:$E$18,4,FALSE)</f>
        <v>125</v>
      </c>
      <c r="P133" s="5">
        <f>VLOOKUP(C133,'Durée de vie utile'!$B$15:$E$18,3,FALSE)</f>
        <v>100</v>
      </c>
      <c r="Q133" s="5">
        <f>VLOOKUP(C133,'Durée de vie utile'!$B$26:$E$29,4,FALSE)</f>
        <v>50</v>
      </c>
      <c r="R133" s="5">
        <f>VLOOKUP(C133,'Durée de vie utile'!$B$26:$E$29,3,FALSE)</f>
        <v>30</v>
      </c>
      <c r="S133" s="6">
        <f t="shared" si="26"/>
        <v>9414.84</v>
      </c>
      <c r="T133" s="6">
        <f>(N133/(1+'Autres hypothèses'!$D$5))*('Autres hypothèses'!$D$5/(((1+'Autres hypothèses'!$D$5)^Routes!P133-1)))</f>
        <v>5467.8250501635221</v>
      </c>
      <c r="U133" s="5">
        <v>1988</v>
      </c>
      <c r="V133" s="5">
        <f t="shared" si="18"/>
        <v>34</v>
      </c>
      <c r="W133" s="1">
        <f t="shared" si="19"/>
        <v>0.34</v>
      </c>
      <c r="X133" s="3">
        <f t="shared" si="20"/>
        <v>68</v>
      </c>
      <c r="Y133" s="3">
        <f t="shared" si="21"/>
        <v>132</v>
      </c>
    </row>
    <row r="134" spans="1:25" x14ac:dyDescent="0.25">
      <c r="A134" s="20" t="s">
        <v>604</v>
      </c>
      <c r="B134" s="5" t="s">
        <v>1756</v>
      </c>
      <c r="C134" s="5" t="s">
        <v>1757</v>
      </c>
      <c r="D134" s="5"/>
      <c r="E134" s="5"/>
      <c r="F134" s="5"/>
      <c r="G134" s="5">
        <v>1977.1</v>
      </c>
      <c r="H134" s="5">
        <v>143.19999999999999</v>
      </c>
      <c r="I134" s="19">
        <f>VLOOKUP("Couche de base",'Taux unitaires'!$B$9:$C$11,2,FALSE)</f>
        <v>200</v>
      </c>
      <c r="J134" s="19">
        <f>VLOOKUP("Revêtement de route",'Taux unitaires'!$B$9:$C$11,2,FALSE)</f>
        <v>101</v>
      </c>
      <c r="K134" s="19">
        <f t="shared" si="22"/>
        <v>395420</v>
      </c>
      <c r="L134" s="19">
        <f t="shared" si="23"/>
        <v>199687.09999999998</v>
      </c>
      <c r="M134" s="19">
        <f t="shared" si="24"/>
        <v>399374.19999999995</v>
      </c>
      <c r="N134" s="19">
        <f t="shared" si="25"/>
        <v>794794.2</v>
      </c>
      <c r="O134" s="5">
        <f>VLOOKUP(C134,'Durée de vie utile'!$B$15:$E$18,4,FALSE)</f>
        <v>125</v>
      </c>
      <c r="P134" s="5">
        <f>VLOOKUP(C134,'Durée de vie utile'!$B$15:$E$18,3,FALSE)</f>
        <v>100</v>
      </c>
      <c r="Q134" s="5">
        <f>VLOOKUP(C134,'Durée de vie utile'!$B$26:$E$29,4,FALSE)</f>
        <v>50</v>
      </c>
      <c r="R134" s="5">
        <f>VLOOKUP(C134,'Durée de vie utile'!$B$26:$E$29,3,FALSE)</f>
        <v>30</v>
      </c>
      <c r="S134" s="6">
        <f t="shared" si="26"/>
        <v>7947.9419999999991</v>
      </c>
      <c r="T134" s="6">
        <f>(N134/(1+'Autres hypothèses'!$D$5))*('Autres hypothèses'!$D$5/(((1+'Autres hypothèses'!$D$5)^Routes!P134-1)))</f>
        <v>4615.8996185646029</v>
      </c>
      <c r="U134" s="5">
        <v>1988</v>
      </c>
      <c r="V134" s="5">
        <f t="shared" si="18"/>
        <v>34</v>
      </c>
      <c r="W134" s="1">
        <f t="shared" si="19"/>
        <v>0.34</v>
      </c>
      <c r="X134" s="3">
        <f t="shared" si="20"/>
        <v>68</v>
      </c>
      <c r="Y134" s="3">
        <f t="shared" si="21"/>
        <v>132</v>
      </c>
    </row>
    <row r="135" spans="1:25" x14ac:dyDescent="0.25">
      <c r="A135" s="20" t="s">
        <v>605</v>
      </c>
      <c r="B135" s="5" t="s">
        <v>1758</v>
      </c>
      <c r="C135" s="5" t="s">
        <v>1759</v>
      </c>
      <c r="D135" s="5"/>
      <c r="E135" s="5"/>
      <c r="F135" s="5"/>
      <c r="G135" s="5">
        <v>2537.3747814399899</v>
      </c>
      <c r="H135" s="5">
        <v>209.63700959104301</v>
      </c>
      <c r="I135" s="19">
        <f>VLOOKUP("Couche de base",'Taux unitaires'!$B$9:$C$11,2,FALSE)</f>
        <v>200</v>
      </c>
      <c r="J135" s="19">
        <f>VLOOKUP("Revêtement de route",'Taux unitaires'!$B$9:$C$11,2,FALSE)</f>
        <v>101</v>
      </c>
      <c r="K135" s="19">
        <f t="shared" si="22"/>
        <v>507474.95628799795</v>
      </c>
      <c r="L135" s="19">
        <f t="shared" si="23"/>
        <v>256274.85292543899</v>
      </c>
      <c r="M135" s="19">
        <f t="shared" si="24"/>
        <v>512549.70585087797</v>
      </c>
      <c r="N135" s="19">
        <f t="shared" si="25"/>
        <v>1020024.6621388759</v>
      </c>
      <c r="O135" s="5">
        <f>VLOOKUP(C135,'Durée de vie utile'!$B$15:$E$18,4,FALSE)</f>
        <v>125</v>
      </c>
      <c r="P135" s="5">
        <f>VLOOKUP(C135,'Durée de vie utile'!$B$15:$E$18,3,FALSE)</f>
        <v>100</v>
      </c>
      <c r="Q135" s="5">
        <f>VLOOKUP(C135,'Durée de vie utile'!$B$26:$E$29,4,FALSE)</f>
        <v>50</v>
      </c>
      <c r="R135" s="5">
        <f>VLOOKUP(C135,'Durée de vie utile'!$B$26:$E$29,3,FALSE)</f>
        <v>30</v>
      </c>
      <c r="S135" s="6">
        <f t="shared" si="26"/>
        <v>10200.24662138876</v>
      </c>
      <c r="T135" s="6">
        <f>(N135/(1+'Autres hypothèses'!$D$5))*('Autres hypothèses'!$D$5/(((1+'Autres hypothèses'!$D$5)^Routes!P135-1)))</f>
        <v>5923.9630194751353</v>
      </c>
      <c r="U135" s="5">
        <v>1983</v>
      </c>
      <c r="V135" s="5">
        <f t="shared" si="18"/>
        <v>39</v>
      </c>
      <c r="W135" s="1">
        <f t="shared" si="19"/>
        <v>0.39</v>
      </c>
      <c r="X135" s="3">
        <f t="shared" si="20"/>
        <v>78</v>
      </c>
      <c r="Y135" s="3">
        <f t="shared" si="21"/>
        <v>122</v>
      </c>
    </row>
    <row r="136" spans="1:25" x14ac:dyDescent="0.25">
      <c r="A136" s="20" t="s">
        <v>606</v>
      </c>
      <c r="B136" s="5" t="s">
        <v>1760</v>
      </c>
      <c r="C136" s="5" t="s">
        <v>1761</v>
      </c>
      <c r="D136" s="5"/>
      <c r="E136" s="5"/>
      <c r="F136" s="5"/>
      <c r="G136" s="5">
        <v>1219.27844621999</v>
      </c>
      <c r="H136" s="5">
        <v>102.544443703203</v>
      </c>
      <c r="I136" s="19">
        <f>VLOOKUP("Couche de base",'Taux unitaires'!$B$9:$C$11,2,FALSE)</f>
        <v>200</v>
      </c>
      <c r="J136" s="19">
        <f>VLOOKUP("Revêtement de route",'Taux unitaires'!$B$9:$C$11,2,FALSE)</f>
        <v>101</v>
      </c>
      <c r="K136" s="19">
        <f t="shared" si="22"/>
        <v>243855.689243998</v>
      </c>
      <c r="L136" s="19">
        <f t="shared" si="23"/>
        <v>123147.12306821899</v>
      </c>
      <c r="M136" s="19">
        <f t="shared" si="24"/>
        <v>246294.24613643799</v>
      </c>
      <c r="N136" s="19">
        <f t="shared" si="25"/>
        <v>490149.93538043601</v>
      </c>
      <c r="O136" s="5">
        <f>VLOOKUP(C136,'Durée de vie utile'!$B$15:$E$18,4,FALSE)</f>
        <v>125</v>
      </c>
      <c r="P136" s="5">
        <f>VLOOKUP(C136,'Durée de vie utile'!$B$15:$E$18,3,FALSE)</f>
        <v>100</v>
      </c>
      <c r="Q136" s="5">
        <f>VLOOKUP(C136,'Durée de vie utile'!$B$26:$E$29,4,FALSE)</f>
        <v>50</v>
      </c>
      <c r="R136" s="5">
        <f>VLOOKUP(C136,'Durée de vie utile'!$B$26:$E$29,3,FALSE)</f>
        <v>30</v>
      </c>
      <c r="S136" s="6">
        <f t="shared" si="26"/>
        <v>4901.49935380436</v>
      </c>
      <c r="T136" s="6">
        <f>(N136/(1+'Autres hypothèses'!$D$5))*('Autres hypothèses'!$D$5/(((1+'Autres hypothèses'!$D$5)^Routes!P136-1)))</f>
        <v>2846.6273404637568</v>
      </c>
      <c r="U136" s="5">
        <v>1988</v>
      </c>
      <c r="V136" s="5">
        <f t="shared" si="18"/>
        <v>34</v>
      </c>
      <c r="W136" s="1">
        <f t="shared" si="19"/>
        <v>0.34</v>
      </c>
      <c r="X136" s="3">
        <f t="shared" si="20"/>
        <v>68</v>
      </c>
      <c r="Y136" s="3">
        <f t="shared" si="21"/>
        <v>132</v>
      </c>
    </row>
    <row r="137" spans="1:25" x14ac:dyDescent="0.25">
      <c r="A137" s="20" t="s">
        <v>607</v>
      </c>
      <c r="B137" s="5" t="s">
        <v>1762</v>
      </c>
      <c r="C137" s="5" t="s">
        <v>1763</v>
      </c>
      <c r="D137" s="5"/>
      <c r="E137" s="5"/>
      <c r="F137" s="5"/>
      <c r="G137" s="5">
        <v>431.8</v>
      </c>
      <c r="H137" s="5">
        <v>48</v>
      </c>
      <c r="I137" s="19">
        <f>VLOOKUP("Couche de base",'Taux unitaires'!$B$9:$C$11,2,FALSE)</f>
        <v>200</v>
      </c>
      <c r="J137" s="19">
        <f>VLOOKUP("Revêtement de route",'Taux unitaires'!$B$9:$C$11,2,FALSE)</f>
        <v>101</v>
      </c>
      <c r="K137" s="19">
        <f t="shared" si="22"/>
        <v>86360</v>
      </c>
      <c r="L137" s="19">
        <f t="shared" si="23"/>
        <v>43611.8</v>
      </c>
      <c r="M137" s="19">
        <f t="shared" si="24"/>
        <v>87223.6</v>
      </c>
      <c r="N137" s="19">
        <f t="shared" si="25"/>
        <v>173583.6</v>
      </c>
      <c r="O137" s="5">
        <f>VLOOKUP(C137,'Durée de vie utile'!$B$15:$E$18,4,FALSE)</f>
        <v>125</v>
      </c>
      <c r="P137" s="5">
        <f>VLOOKUP(C137,'Durée de vie utile'!$B$15:$E$18,3,FALSE)</f>
        <v>100</v>
      </c>
      <c r="Q137" s="5">
        <f>VLOOKUP(C137,'Durée de vie utile'!$B$26:$E$29,4,FALSE)</f>
        <v>50</v>
      </c>
      <c r="R137" s="5">
        <f>VLOOKUP(C137,'Durée de vie utile'!$B$26:$E$29,3,FALSE)</f>
        <v>30</v>
      </c>
      <c r="S137" s="6">
        <f t="shared" si="26"/>
        <v>1735.836</v>
      </c>
      <c r="T137" s="6">
        <f>(N137/(1+'Autres hypothèses'!$D$5))*('Autres hypothèses'!$D$5/(((1+'Autres hypothèses'!$D$5)^Routes!P137-1)))</f>
        <v>1008.1156518619167</v>
      </c>
      <c r="U137" s="5">
        <v>1988</v>
      </c>
      <c r="V137" s="5">
        <f t="shared" si="18"/>
        <v>34</v>
      </c>
      <c r="W137" s="1">
        <f t="shared" si="19"/>
        <v>0.34</v>
      </c>
      <c r="X137" s="3">
        <f t="shared" si="20"/>
        <v>68</v>
      </c>
      <c r="Y137" s="3">
        <f t="shared" si="21"/>
        <v>132</v>
      </c>
    </row>
    <row r="138" spans="1:25" x14ac:dyDescent="0.25">
      <c r="A138" s="20" t="s">
        <v>608</v>
      </c>
      <c r="B138" s="5" t="s">
        <v>1764</v>
      </c>
      <c r="C138" s="5" t="s">
        <v>1765</v>
      </c>
      <c r="D138" s="5"/>
      <c r="E138" s="5"/>
      <c r="F138" s="5"/>
      <c r="G138" s="5">
        <v>1355.2116188499899</v>
      </c>
      <c r="H138" s="5">
        <v>126.640857855954</v>
      </c>
      <c r="I138" s="19">
        <f>VLOOKUP("Couche de base",'Taux unitaires'!$B$9:$C$11,2,FALSE)</f>
        <v>200</v>
      </c>
      <c r="J138" s="19">
        <f>VLOOKUP("Revêtement de route",'Taux unitaires'!$B$9:$C$11,2,FALSE)</f>
        <v>101</v>
      </c>
      <c r="K138" s="19">
        <f t="shared" si="22"/>
        <v>271042.32376999798</v>
      </c>
      <c r="L138" s="19">
        <f t="shared" si="23"/>
        <v>136876.37350384897</v>
      </c>
      <c r="M138" s="19">
        <f t="shared" si="24"/>
        <v>273752.74700769794</v>
      </c>
      <c r="N138" s="19">
        <f t="shared" si="25"/>
        <v>544795.07077769586</v>
      </c>
      <c r="O138" s="5">
        <f>VLOOKUP(C138,'Durée de vie utile'!$B$15:$E$18,4,FALSE)</f>
        <v>125</v>
      </c>
      <c r="P138" s="5">
        <f>VLOOKUP(C138,'Durée de vie utile'!$B$15:$E$18,3,FALSE)</f>
        <v>100</v>
      </c>
      <c r="Q138" s="5">
        <f>VLOOKUP(C138,'Durée de vie utile'!$B$26:$E$29,4,FALSE)</f>
        <v>50</v>
      </c>
      <c r="R138" s="5">
        <f>VLOOKUP(C138,'Durée de vie utile'!$B$26:$E$29,3,FALSE)</f>
        <v>30</v>
      </c>
      <c r="S138" s="6">
        <f t="shared" si="26"/>
        <v>5447.9507077769586</v>
      </c>
      <c r="T138" s="6">
        <f>(N138/(1+'Autres hypothèses'!$D$5))*('Autres hypothèses'!$D$5/(((1+'Autres hypothèses'!$D$5)^Routes!P138-1)))</f>
        <v>3163.9880605553512</v>
      </c>
      <c r="U138" s="5">
        <v>1989</v>
      </c>
      <c r="V138" s="5">
        <f t="shared" si="18"/>
        <v>33</v>
      </c>
      <c r="W138" s="1">
        <f t="shared" si="19"/>
        <v>0.33</v>
      </c>
      <c r="X138" s="3">
        <f t="shared" si="20"/>
        <v>66</v>
      </c>
      <c r="Y138" s="3">
        <f t="shared" si="21"/>
        <v>134</v>
      </c>
    </row>
    <row r="139" spans="1:25" x14ac:dyDescent="0.25">
      <c r="A139" s="20" t="s">
        <v>609</v>
      </c>
      <c r="B139" s="5" t="s">
        <v>1766</v>
      </c>
      <c r="C139" s="5" t="s">
        <v>1767</v>
      </c>
      <c r="D139" s="5"/>
      <c r="E139" s="5"/>
      <c r="F139" s="5"/>
      <c r="G139" s="5">
        <v>666.7</v>
      </c>
      <c r="H139" s="5">
        <v>41.7</v>
      </c>
      <c r="I139" s="19">
        <f>VLOOKUP("Couche de base",'Taux unitaires'!$B$9:$C$11,2,FALSE)</f>
        <v>200</v>
      </c>
      <c r="J139" s="19">
        <f>VLOOKUP("Revêtement de route",'Taux unitaires'!$B$9:$C$11,2,FALSE)</f>
        <v>101</v>
      </c>
      <c r="K139" s="19">
        <f t="shared" si="22"/>
        <v>133340</v>
      </c>
      <c r="L139" s="19">
        <f t="shared" si="23"/>
        <v>67336.700000000012</v>
      </c>
      <c r="M139" s="19">
        <f t="shared" si="24"/>
        <v>134673.40000000002</v>
      </c>
      <c r="N139" s="19">
        <f t="shared" si="25"/>
        <v>268013.40000000002</v>
      </c>
      <c r="O139" s="5">
        <f>VLOOKUP(C139,'Durée de vie utile'!$B$15:$E$18,4,FALSE)</f>
        <v>125</v>
      </c>
      <c r="P139" s="5">
        <f>VLOOKUP(C139,'Durée de vie utile'!$B$15:$E$18,3,FALSE)</f>
        <v>100</v>
      </c>
      <c r="Q139" s="5">
        <f>VLOOKUP(C139,'Durée de vie utile'!$B$26:$E$29,4,FALSE)</f>
        <v>50</v>
      </c>
      <c r="R139" s="5">
        <f>VLOOKUP(C139,'Durée de vie utile'!$B$26:$E$29,3,FALSE)</f>
        <v>30</v>
      </c>
      <c r="S139" s="6">
        <f t="shared" si="26"/>
        <v>2680.134</v>
      </c>
      <c r="T139" s="6">
        <f>(N139/(1+'Autres hypothèses'!$D$5))*('Autres hypothèses'!$D$5/(((1+'Autres hypothèses'!$D$5)^Routes!P139-1)))</f>
        <v>1556.532434220333</v>
      </c>
      <c r="U139" s="5">
        <v>1983</v>
      </c>
      <c r="V139" s="5">
        <f t="shared" si="18"/>
        <v>39</v>
      </c>
      <c r="W139" s="1">
        <f t="shared" si="19"/>
        <v>0.39</v>
      </c>
      <c r="X139" s="3">
        <f t="shared" si="20"/>
        <v>78</v>
      </c>
      <c r="Y139" s="3">
        <f t="shared" si="21"/>
        <v>122</v>
      </c>
    </row>
    <row r="140" spans="1:25" x14ac:dyDescent="0.25">
      <c r="A140" s="20" t="s">
        <v>610</v>
      </c>
      <c r="B140" s="5" t="s">
        <v>1768</v>
      </c>
      <c r="C140" s="5" t="s">
        <v>1769</v>
      </c>
      <c r="D140" s="5"/>
      <c r="E140" s="5"/>
      <c r="F140" s="5"/>
      <c r="G140" s="5">
        <v>2111.6371177199899</v>
      </c>
      <c r="H140" s="5">
        <v>182.35208270485001</v>
      </c>
      <c r="I140" s="19">
        <f>VLOOKUP("Couche de base",'Taux unitaires'!$B$9:$C$11,2,FALSE)</f>
        <v>200</v>
      </c>
      <c r="J140" s="19">
        <f>VLOOKUP("Revêtement de route",'Taux unitaires'!$B$9:$C$11,2,FALSE)</f>
        <v>101</v>
      </c>
      <c r="K140" s="19">
        <f t="shared" si="22"/>
        <v>422327.42354399798</v>
      </c>
      <c r="L140" s="19">
        <f t="shared" si="23"/>
        <v>213275.34888971897</v>
      </c>
      <c r="M140" s="19">
        <f t="shared" si="24"/>
        <v>426550.69777943793</v>
      </c>
      <c r="N140" s="19">
        <f t="shared" si="25"/>
        <v>848878.12132343592</v>
      </c>
      <c r="O140" s="5">
        <f>VLOOKUP(C140,'Durée de vie utile'!$B$15:$E$18,4,FALSE)</f>
        <v>125</v>
      </c>
      <c r="P140" s="5">
        <f>VLOOKUP(C140,'Durée de vie utile'!$B$15:$E$18,3,FALSE)</f>
        <v>100</v>
      </c>
      <c r="Q140" s="5">
        <f>VLOOKUP(C140,'Durée de vie utile'!$B$26:$E$29,4,FALSE)</f>
        <v>50</v>
      </c>
      <c r="R140" s="5">
        <f>VLOOKUP(C140,'Durée de vie utile'!$B$26:$E$29,3,FALSE)</f>
        <v>30</v>
      </c>
      <c r="S140" s="6">
        <f t="shared" si="26"/>
        <v>8488.7812132343588</v>
      </c>
      <c r="T140" s="6">
        <f>(N140/(1+'Autres hypothèses'!$D$5))*('Autres hypothèses'!$D$5/(((1+'Autres hypothèses'!$D$5)^Routes!P140-1)))</f>
        <v>4930.0009945023312</v>
      </c>
      <c r="U140" s="5">
        <v>1983</v>
      </c>
      <c r="V140" s="5">
        <f t="shared" si="18"/>
        <v>39</v>
      </c>
      <c r="W140" s="1">
        <f t="shared" si="19"/>
        <v>0.39</v>
      </c>
      <c r="X140" s="3">
        <f t="shared" si="20"/>
        <v>78</v>
      </c>
      <c r="Y140" s="3">
        <f t="shared" si="21"/>
        <v>122</v>
      </c>
    </row>
    <row r="141" spans="1:25" x14ac:dyDescent="0.25">
      <c r="A141" s="20" t="s">
        <v>611</v>
      </c>
      <c r="B141" s="5" t="s">
        <v>1770</v>
      </c>
      <c r="C141" s="5" t="s">
        <v>1771</v>
      </c>
      <c r="D141" s="5"/>
      <c r="E141" s="5"/>
      <c r="F141" s="5"/>
      <c r="G141" s="5">
        <v>2159.1</v>
      </c>
      <c r="H141" s="5">
        <v>194.6</v>
      </c>
      <c r="I141" s="19">
        <f>VLOOKUP("Couche de base",'Taux unitaires'!$B$9:$C$11,2,FALSE)</f>
        <v>200</v>
      </c>
      <c r="J141" s="19">
        <f>VLOOKUP("Revêtement de route",'Taux unitaires'!$B$9:$C$11,2,FALSE)</f>
        <v>101</v>
      </c>
      <c r="K141" s="19">
        <f t="shared" si="22"/>
        <v>431820</v>
      </c>
      <c r="L141" s="19">
        <f t="shared" si="23"/>
        <v>218069.09999999998</v>
      </c>
      <c r="M141" s="19">
        <f t="shared" si="24"/>
        <v>436138.19999999995</v>
      </c>
      <c r="N141" s="19">
        <f t="shared" si="25"/>
        <v>867958.2</v>
      </c>
      <c r="O141" s="5">
        <f>VLOOKUP(C141,'Durée de vie utile'!$B$15:$E$18,4,FALSE)</f>
        <v>125</v>
      </c>
      <c r="P141" s="5">
        <f>VLOOKUP(C141,'Durée de vie utile'!$B$15:$E$18,3,FALSE)</f>
        <v>100</v>
      </c>
      <c r="Q141" s="5">
        <f>VLOOKUP(C141,'Durée de vie utile'!$B$26:$E$29,4,FALSE)</f>
        <v>50</v>
      </c>
      <c r="R141" s="5">
        <f>VLOOKUP(C141,'Durée de vie utile'!$B$26:$E$29,3,FALSE)</f>
        <v>30</v>
      </c>
      <c r="S141" s="6">
        <f t="shared" si="26"/>
        <v>8679.5820000000003</v>
      </c>
      <c r="T141" s="6">
        <f>(N141/(1+'Autres hypothèses'!$D$5))*('Autres hypothèses'!$D$5/(((1+'Autres hypothèses'!$D$5)^Routes!P141-1)))</f>
        <v>5040.8117275013064</v>
      </c>
      <c r="U141" s="5">
        <v>1983</v>
      </c>
      <c r="V141" s="5">
        <f t="shared" si="18"/>
        <v>39</v>
      </c>
      <c r="W141" s="1">
        <f t="shared" si="19"/>
        <v>0.39</v>
      </c>
      <c r="X141" s="3">
        <f t="shared" si="20"/>
        <v>78</v>
      </c>
      <c r="Y141" s="3">
        <f t="shared" si="21"/>
        <v>122</v>
      </c>
    </row>
    <row r="142" spans="1:25" x14ac:dyDescent="0.25">
      <c r="A142" s="20" t="s">
        <v>612</v>
      </c>
      <c r="B142" s="5" t="s">
        <v>1772</v>
      </c>
      <c r="C142" s="5" t="s">
        <v>1773</v>
      </c>
      <c r="D142" s="5"/>
      <c r="E142" s="5"/>
      <c r="F142" s="5"/>
      <c r="G142" s="5">
        <v>1937.2231944800001</v>
      </c>
      <c r="H142" s="5">
        <v>173.136023924249</v>
      </c>
      <c r="I142" s="19">
        <f>VLOOKUP("Couche de base",'Taux unitaires'!$B$9:$C$11,2,FALSE)</f>
        <v>200</v>
      </c>
      <c r="J142" s="19">
        <f>VLOOKUP("Revêtement de route",'Taux unitaires'!$B$9:$C$11,2,FALSE)</f>
        <v>101</v>
      </c>
      <c r="K142" s="19">
        <f t="shared" si="22"/>
        <v>387444.63889599999</v>
      </c>
      <c r="L142" s="19">
        <f t="shared" si="23"/>
        <v>195659.54264248</v>
      </c>
      <c r="M142" s="19">
        <f t="shared" si="24"/>
        <v>391319.08528495999</v>
      </c>
      <c r="N142" s="19">
        <f t="shared" si="25"/>
        <v>778763.72418095998</v>
      </c>
      <c r="O142" s="5">
        <f>VLOOKUP(C142,'Durée de vie utile'!$B$15:$E$18,4,FALSE)</f>
        <v>100</v>
      </c>
      <c r="P142" s="5">
        <f>VLOOKUP(C142,'Durée de vie utile'!$B$15:$E$18,3,FALSE)</f>
        <v>80</v>
      </c>
      <c r="Q142" s="5">
        <f>VLOOKUP(C142,'Durée de vie utile'!$B$26:$E$29,4,FALSE)</f>
        <v>40</v>
      </c>
      <c r="R142" s="5">
        <f>VLOOKUP(C142,'Durée de vie utile'!$B$26:$E$29,3,FALSE)</f>
        <v>25</v>
      </c>
      <c r="S142" s="6">
        <f t="shared" si="26"/>
        <v>9734.5465522619998</v>
      </c>
      <c r="T142" s="6">
        <f>(N142/(1+'Autres hypothèses'!$D$5))*('Autres hypothèses'!$D$5/(((1+'Autres hypothèses'!$D$5)^Routes!P142-1)))</f>
        <v>6337.170616115267</v>
      </c>
      <c r="U142" s="5">
        <v>1983</v>
      </c>
      <c r="V142" s="5">
        <f t="shared" si="18"/>
        <v>39</v>
      </c>
      <c r="W142" s="1">
        <f t="shared" si="19"/>
        <v>0.48749999999999999</v>
      </c>
      <c r="X142" s="3">
        <f t="shared" si="20"/>
        <v>97.5</v>
      </c>
      <c r="Y142" s="3">
        <f t="shared" si="21"/>
        <v>102.5</v>
      </c>
    </row>
    <row r="143" spans="1:25" x14ac:dyDescent="0.25">
      <c r="A143" s="20" t="s">
        <v>613</v>
      </c>
      <c r="B143" s="5" t="s">
        <v>1774</v>
      </c>
      <c r="C143" s="5" t="s">
        <v>1775</v>
      </c>
      <c r="D143" s="5"/>
      <c r="E143" s="5"/>
      <c r="F143" s="5"/>
      <c r="G143" s="5">
        <v>312.8</v>
      </c>
      <c r="H143" s="5">
        <v>41.7</v>
      </c>
      <c r="I143" s="19">
        <f>VLOOKUP("Couche de base",'Taux unitaires'!$B$9:$C$11,2,FALSE)</f>
        <v>200</v>
      </c>
      <c r="J143" s="19">
        <f>VLOOKUP("Revêtement de route",'Taux unitaires'!$B$9:$C$11,2,FALSE)</f>
        <v>101</v>
      </c>
      <c r="K143" s="19">
        <f t="shared" si="22"/>
        <v>62560</v>
      </c>
      <c r="L143" s="19">
        <f t="shared" si="23"/>
        <v>31592.800000000003</v>
      </c>
      <c r="M143" s="19">
        <f t="shared" si="24"/>
        <v>63185.600000000006</v>
      </c>
      <c r="N143" s="19">
        <f t="shared" si="25"/>
        <v>125745.60000000001</v>
      </c>
      <c r="O143" s="5">
        <f>VLOOKUP(C143,'Durée de vie utile'!$B$15:$E$18,4,FALSE)</f>
        <v>125</v>
      </c>
      <c r="P143" s="5">
        <f>VLOOKUP(C143,'Durée de vie utile'!$B$15:$E$18,3,FALSE)</f>
        <v>100</v>
      </c>
      <c r="Q143" s="5">
        <f>VLOOKUP(C143,'Durée de vie utile'!$B$26:$E$29,4,FALSE)</f>
        <v>50</v>
      </c>
      <c r="R143" s="5">
        <f>VLOOKUP(C143,'Durée de vie utile'!$B$26:$E$29,3,FALSE)</f>
        <v>30</v>
      </c>
      <c r="S143" s="6">
        <f t="shared" si="26"/>
        <v>1257.4560000000001</v>
      </c>
      <c r="T143" s="6">
        <f>(N143/(1+'Autres hypothèses'!$D$5))*('Autres hypothèses'!$D$5/(((1+'Autres hypothèses'!$D$5)^Routes!P143-1)))</f>
        <v>730.28850371099486</v>
      </c>
      <c r="U143" s="5">
        <v>1990</v>
      </c>
      <c r="V143" s="5">
        <f t="shared" si="18"/>
        <v>32</v>
      </c>
      <c r="W143" s="1">
        <f t="shared" si="19"/>
        <v>0.32</v>
      </c>
      <c r="X143" s="3">
        <f t="shared" si="20"/>
        <v>64</v>
      </c>
      <c r="Y143" s="3">
        <f t="shared" si="21"/>
        <v>136</v>
      </c>
    </row>
    <row r="144" spans="1:25" x14ac:dyDescent="0.25">
      <c r="A144" s="20" t="s">
        <v>614</v>
      </c>
      <c r="B144" s="5" t="s">
        <v>1776</v>
      </c>
      <c r="C144" s="5" t="s">
        <v>1777</v>
      </c>
      <c r="D144" s="5"/>
      <c r="E144" s="5"/>
      <c r="F144" s="5"/>
      <c r="G144" s="5">
        <v>319.2</v>
      </c>
      <c r="H144" s="5">
        <v>63.8</v>
      </c>
      <c r="I144" s="19">
        <f>VLOOKUP("Couche de base",'Taux unitaires'!$B$9:$C$11,2,FALSE)</f>
        <v>200</v>
      </c>
      <c r="J144" s="19">
        <f>VLOOKUP("Revêtement de route",'Taux unitaires'!$B$9:$C$11,2,FALSE)</f>
        <v>101</v>
      </c>
      <c r="K144" s="19">
        <f t="shared" si="22"/>
        <v>63840</v>
      </c>
      <c r="L144" s="19">
        <f t="shared" si="23"/>
        <v>32239.199999999997</v>
      </c>
      <c r="M144" s="19">
        <f t="shared" si="24"/>
        <v>64478.399999999994</v>
      </c>
      <c r="N144" s="19">
        <f t="shared" si="25"/>
        <v>128318.39999999999</v>
      </c>
      <c r="O144" s="5">
        <f>VLOOKUP(C144,'Durée de vie utile'!$B$15:$E$18,4,FALSE)</f>
        <v>125</v>
      </c>
      <c r="P144" s="5">
        <f>VLOOKUP(C144,'Durée de vie utile'!$B$15:$E$18,3,FALSE)</f>
        <v>100</v>
      </c>
      <c r="Q144" s="5">
        <f>VLOOKUP(C144,'Durée de vie utile'!$B$26:$E$29,4,FALSE)</f>
        <v>50</v>
      </c>
      <c r="R144" s="5">
        <f>VLOOKUP(C144,'Durée de vie utile'!$B$26:$E$29,3,FALSE)</f>
        <v>30</v>
      </c>
      <c r="S144" s="6">
        <f t="shared" si="26"/>
        <v>1283.184</v>
      </c>
      <c r="T144" s="6">
        <f>(N144/(1+'Autres hypothèses'!$D$5))*('Autres hypothèses'!$D$5/(((1+'Autres hypothèses'!$D$5)^Routes!P144-1)))</f>
        <v>745.23046798129633</v>
      </c>
      <c r="U144" s="5">
        <v>1990</v>
      </c>
      <c r="V144" s="5">
        <f t="shared" si="18"/>
        <v>32</v>
      </c>
      <c r="W144" s="1">
        <f t="shared" si="19"/>
        <v>0.32</v>
      </c>
      <c r="X144" s="3">
        <f t="shared" si="20"/>
        <v>64</v>
      </c>
      <c r="Y144" s="3">
        <f t="shared" si="21"/>
        <v>136</v>
      </c>
    </row>
    <row r="145" spans="1:25" x14ac:dyDescent="0.25">
      <c r="A145" s="20" t="s">
        <v>615</v>
      </c>
      <c r="B145" s="5" t="s">
        <v>1778</v>
      </c>
      <c r="C145" s="5" t="s">
        <v>1779</v>
      </c>
      <c r="D145" s="5"/>
      <c r="E145" s="5"/>
      <c r="F145" s="5"/>
      <c r="G145" s="5">
        <v>1409.5</v>
      </c>
      <c r="H145" s="5">
        <v>100.7</v>
      </c>
      <c r="I145" s="19">
        <f>VLOOKUP("Couche de base",'Taux unitaires'!$B$9:$C$11,2,FALSE)</f>
        <v>200</v>
      </c>
      <c r="J145" s="19">
        <f>VLOOKUP("Revêtement de route",'Taux unitaires'!$B$9:$C$11,2,FALSE)</f>
        <v>101</v>
      </c>
      <c r="K145" s="19">
        <f t="shared" si="22"/>
        <v>281900</v>
      </c>
      <c r="L145" s="19">
        <f t="shared" si="23"/>
        <v>142359.5</v>
      </c>
      <c r="M145" s="19">
        <f t="shared" si="24"/>
        <v>284719</v>
      </c>
      <c r="N145" s="19">
        <f t="shared" si="25"/>
        <v>566619</v>
      </c>
      <c r="O145" s="5">
        <f>VLOOKUP(C145,'Durée de vie utile'!$B$15:$E$18,4,FALSE)</f>
        <v>125</v>
      </c>
      <c r="P145" s="5">
        <f>VLOOKUP(C145,'Durée de vie utile'!$B$15:$E$18,3,FALSE)</f>
        <v>100</v>
      </c>
      <c r="Q145" s="5">
        <f>VLOOKUP(C145,'Durée de vie utile'!$B$26:$E$29,4,FALSE)</f>
        <v>50</v>
      </c>
      <c r="R145" s="5">
        <f>VLOOKUP(C145,'Durée de vie utile'!$B$26:$E$29,3,FALSE)</f>
        <v>30</v>
      </c>
      <c r="S145" s="6">
        <f t="shared" si="26"/>
        <v>5666.19</v>
      </c>
      <c r="T145" s="6">
        <f>(N145/(1+'Autres hypothèses'!$D$5))*('Autres hypothèses'!$D$5/(((1+'Autres hypothèses'!$D$5)^Routes!P145-1)))</f>
        <v>3290.7341623422221</v>
      </c>
      <c r="U145" s="5">
        <v>1990</v>
      </c>
      <c r="V145" s="5">
        <f t="shared" si="18"/>
        <v>32</v>
      </c>
      <c r="W145" s="1">
        <f t="shared" si="19"/>
        <v>0.32</v>
      </c>
      <c r="X145" s="3">
        <f t="shared" si="20"/>
        <v>64</v>
      </c>
      <c r="Y145" s="3">
        <f t="shared" si="21"/>
        <v>136</v>
      </c>
    </row>
    <row r="146" spans="1:25" x14ac:dyDescent="0.25">
      <c r="A146" s="20" t="s">
        <v>616</v>
      </c>
      <c r="B146" s="5" t="s">
        <v>1780</v>
      </c>
      <c r="C146" s="5" t="s">
        <v>1781</v>
      </c>
      <c r="D146" s="5"/>
      <c r="E146" s="5"/>
      <c r="F146" s="5"/>
      <c r="G146" s="5">
        <v>2813.9</v>
      </c>
      <c r="H146" s="5">
        <v>160</v>
      </c>
      <c r="I146" s="19">
        <f>VLOOKUP("Couche de base",'Taux unitaires'!$B$9:$C$11,2,FALSE)</f>
        <v>200</v>
      </c>
      <c r="J146" s="19">
        <f>VLOOKUP("Revêtement de route",'Taux unitaires'!$B$9:$C$11,2,FALSE)</f>
        <v>101</v>
      </c>
      <c r="K146" s="19">
        <f t="shared" si="22"/>
        <v>562780</v>
      </c>
      <c r="L146" s="19">
        <f t="shared" si="23"/>
        <v>284203.90000000002</v>
      </c>
      <c r="M146" s="19">
        <f t="shared" si="24"/>
        <v>568407.80000000005</v>
      </c>
      <c r="N146" s="19">
        <f t="shared" si="25"/>
        <v>1131187.8</v>
      </c>
      <c r="O146" s="5">
        <f>VLOOKUP(C146,'Durée de vie utile'!$B$15:$E$18,4,FALSE)</f>
        <v>100</v>
      </c>
      <c r="P146" s="5">
        <f>VLOOKUP(C146,'Durée de vie utile'!$B$15:$E$18,3,FALSE)</f>
        <v>80</v>
      </c>
      <c r="Q146" s="5">
        <f>VLOOKUP(C146,'Durée de vie utile'!$B$26:$E$29,4,FALSE)</f>
        <v>40</v>
      </c>
      <c r="R146" s="5">
        <f>VLOOKUP(C146,'Durée de vie utile'!$B$26:$E$29,3,FALSE)</f>
        <v>25</v>
      </c>
      <c r="S146" s="6">
        <f t="shared" si="26"/>
        <v>14139.8475</v>
      </c>
      <c r="T146" s="6">
        <f>(N146/(1+'Autres hypothèses'!$D$5))*('Autres hypothèses'!$D$5/(((1+'Autres hypothèses'!$D$5)^Routes!P146-1)))</f>
        <v>9205.0128490606676</v>
      </c>
      <c r="U146" s="5">
        <v>1990</v>
      </c>
      <c r="V146" s="5">
        <f t="shared" si="18"/>
        <v>32</v>
      </c>
      <c r="W146" s="1">
        <f t="shared" si="19"/>
        <v>0.4</v>
      </c>
      <c r="X146" s="3">
        <f t="shared" si="20"/>
        <v>80</v>
      </c>
      <c r="Y146" s="3">
        <f t="shared" si="21"/>
        <v>120</v>
      </c>
    </row>
    <row r="147" spans="1:25" x14ac:dyDescent="0.25">
      <c r="A147" s="20" t="s">
        <v>617</v>
      </c>
      <c r="B147" s="5" t="s">
        <v>1782</v>
      </c>
      <c r="C147" s="5" t="s">
        <v>1783</v>
      </c>
      <c r="D147" s="5"/>
      <c r="E147" s="5"/>
      <c r="F147" s="5"/>
      <c r="G147" s="5">
        <v>978.5</v>
      </c>
      <c r="H147" s="5">
        <v>48</v>
      </c>
      <c r="I147" s="19">
        <f>VLOOKUP("Couche de base",'Taux unitaires'!$B$9:$C$11,2,FALSE)</f>
        <v>200</v>
      </c>
      <c r="J147" s="19">
        <f>VLOOKUP("Revêtement de route",'Taux unitaires'!$B$9:$C$11,2,FALSE)</f>
        <v>101</v>
      </c>
      <c r="K147" s="19">
        <f t="shared" si="22"/>
        <v>195700</v>
      </c>
      <c r="L147" s="19">
        <f t="shared" si="23"/>
        <v>98828.5</v>
      </c>
      <c r="M147" s="19">
        <f t="shared" si="24"/>
        <v>197657</v>
      </c>
      <c r="N147" s="19">
        <f t="shared" si="25"/>
        <v>393357</v>
      </c>
      <c r="O147" s="5">
        <f>VLOOKUP(C147,'Durée de vie utile'!$B$15:$E$18,4,FALSE)</f>
        <v>125</v>
      </c>
      <c r="P147" s="5">
        <f>VLOOKUP(C147,'Durée de vie utile'!$B$15:$E$18,3,FALSE)</f>
        <v>100</v>
      </c>
      <c r="Q147" s="5">
        <f>VLOOKUP(C147,'Durée de vie utile'!$B$26:$E$29,4,FALSE)</f>
        <v>50</v>
      </c>
      <c r="R147" s="5">
        <f>VLOOKUP(C147,'Durée de vie utile'!$B$26:$E$29,3,FALSE)</f>
        <v>30</v>
      </c>
      <c r="S147" s="6">
        <f t="shared" si="26"/>
        <v>3933.57</v>
      </c>
      <c r="T147" s="6">
        <f>(N147/(1+'Autres hypothèses'!$D$5))*('Autres hypothèses'!$D$5/(((1+'Autres hypothèses'!$D$5)^Routes!P147-1)))</f>
        <v>2284.4862560140932</v>
      </c>
      <c r="U147" s="5">
        <v>1988</v>
      </c>
      <c r="V147" s="5">
        <f t="shared" si="18"/>
        <v>34</v>
      </c>
      <c r="W147" s="1">
        <f t="shared" si="19"/>
        <v>0.34</v>
      </c>
      <c r="X147" s="3">
        <f t="shared" si="20"/>
        <v>68</v>
      </c>
      <c r="Y147" s="3">
        <f t="shared" si="21"/>
        <v>132</v>
      </c>
    </row>
    <row r="148" spans="1:25" x14ac:dyDescent="0.25">
      <c r="A148" s="20" t="s">
        <v>618</v>
      </c>
      <c r="B148" s="5" t="s">
        <v>1784</v>
      </c>
      <c r="C148" s="5" t="s">
        <v>1785</v>
      </c>
      <c r="D148" s="5"/>
      <c r="E148" s="5"/>
      <c r="F148" s="5"/>
      <c r="G148" s="5">
        <v>1450.6</v>
      </c>
      <c r="H148" s="5">
        <v>120.8</v>
      </c>
      <c r="I148" s="19">
        <f>VLOOKUP("Couche de base",'Taux unitaires'!$B$9:$C$11,2,FALSE)</f>
        <v>200</v>
      </c>
      <c r="J148" s="19">
        <f>VLOOKUP("Revêtement de route",'Taux unitaires'!$B$9:$C$11,2,FALSE)</f>
        <v>101</v>
      </c>
      <c r="K148" s="19">
        <f t="shared" si="22"/>
        <v>290120</v>
      </c>
      <c r="L148" s="19">
        <f t="shared" si="23"/>
        <v>146510.59999999998</v>
      </c>
      <c r="M148" s="19">
        <f t="shared" si="24"/>
        <v>293021.19999999995</v>
      </c>
      <c r="N148" s="19">
        <f t="shared" si="25"/>
        <v>583141.19999999995</v>
      </c>
      <c r="O148" s="5">
        <f>VLOOKUP(C148,'Durée de vie utile'!$B$15:$E$18,4,FALSE)</f>
        <v>125</v>
      </c>
      <c r="P148" s="5">
        <f>VLOOKUP(C148,'Durée de vie utile'!$B$15:$E$18,3,FALSE)</f>
        <v>100</v>
      </c>
      <c r="Q148" s="5">
        <f>VLOOKUP(C148,'Durée de vie utile'!$B$26:$E$29,4,FALSE)</f>
        <v>50</v>
      </c>
      <c r="R148" s="5">
        <f>VLOOKUP(C148,'Durée de vie utile'!$B$26:$E$29,3,FALSE)</f>
        <v>30</v>
      </c>
      <c r="S148" s="6">
        <f t="shared" si="26"/>
        <v>5831.4119999999994</v>
      </c>
      <c r="T148" s="6">
        <f>(N148/(1+'Autres hypothèses'!$D$5))*('Autres hypothèses'!$D$5/(((1+'Autres hypothèses'!$D$5)^Routes!P148-1)))</f>
        <v>3386.6895891405657</v>
      </c>
      <c r="U148" s="5">
        <v>1990</v>
      </c>
      <c r="V148" s="5">
        <f t="shared" si="18"/>
        <v>32</v>
      </c>
      <c r="W148" s="1">
        <f t="shared" si="19"/>
        <v>0.32</v>
      </c>
      <c r="X148" s="3">
        <f t="shared" si="20"/>
        <v>64</v>
      </c>
      <c r="Y148" s="3">
        <f t="shared" si="21"/>
        <v>136</v>
      </c>
    </row>
    <row r="149" spans="1:25" x14ac:dyDescent="0.25">
      <c r="A149" s="20" t="s">
        <v>619</v>
      </c>
      <c r="B149" s="5" t="s">
        <v>1786</v>
      </c>
      <c r="C149" s="5" t="s">
        <v>1787</v>
      </c>
      <c r="D149" s="5"/>
      <c r="E149" s="5"/>
      <c r="F149" s="5"/>
      <c r="G149" s="5">
        <v>585.4</v>
      </c>
      <c r="H149" s="5">
        <v>51.3</v>
      </c>
      <c r="I149" s="19">
        <f>VLOOKUP("Couche de base",'Taux unitaires'!$B$9:$C$11,2,FALSE)</f>
        <v>200</v>
      </c>
      <c r="J149" s="19">
        <f>VLOOKUP("Revêtement de route",'Taux unitaires'!$B$9:$C$11,2,FALSE)</f>
        <v>101</v>
      </c>
      <c r="K149" s="19">
        <f t="shared" si="22"/>
        <v>117080</v>
      </c>
      <c r="L149" s="19">
        <f t="shared" si="23"/>
        <v>59125.399999999994</v>
      </c>
      <c r="M149" s="19">
        <f t="shared" si="24"/>
        <v>118250.79999999999</v>
      </c>
      <c r="N149" s="19">
        <f t="shared" si="25"/>
        <v>235330.8</v>
      </c>
      <c r="O149" s="5">
        <f>VLOOKUP(C149,'Durée de vie utile'!$B$15:$E$18,4,FALSE)</f>
        <v>125</v>
      </c>
      <c r="P149" s="5">
        <f>VLOOKUP(C149,'Durée de vie utile'!$B$15:$E$18,3,FALSE)</f>
        <v>100</v>
      </c>
      <c r="Q149" s="5">
        <f>VLOOKUP(C149,'Durée de vie utile'!$B$26:$E$29,4,FALSE)</f>
        <v>50</v>
      </c>
      <c r="R149" s="5">
        <f>VLOOKUP(C149,'Durée de vie utile'!$B$26:$E$29,3,FALSE)</f>
        <v>30</v>
      </c>
      <c r="S149" s="6">
        <f t="shared" si="26"/>
        <v>2353.308</v>
      </c>
      <c r="T149" s="6">
        <f>(N149/(1+'Autres hypothèses'!$D$5))*('Autres hypothèses'!$D$5/(((1+'Autres hypothèses'!$D$5)^Routes!P149-1)))</f>
        <v>1366.7227943491569</v>
      </c>
      <c r="U149" s="5">
        <v>1991</v>
      </c>
      <c r="V149" s="5">
        <f t="shared" si="18"/>
        <v>31</v>
      </c>
      <c r="W149" s="1">
        <f t="shared" si="19"/>
        <v>0.31</v>
      </c>
      <c r="X149" s="3">
        <f t="shared" si="20"/>
        <v>62</v>
      </c>
      <c r="Y149" s="3">
        <f t="shared" si="21"/>
        <v>138</v>
      </c>
    </row>
    <row r="150" spans="1:25" x14ac:dyDescent="0.25">
      <c r="A150" s="20" t="s">
        <v>620</v>
      </c>
      <c r="B150" s="5" t="s">
        <v>1788</v>
      </c>
      <c r="C150" s="5" t="s">
        <v>1789</v>
      </c>
      <c r="D150" s="5"/>
      <c r="E150" s="5"/>
      <c r="F150" s="5"/>
      <c r="G150" s="5">
        <v>442.03064277999903</v>
      </c>
      <c r="H150" s="5">
        <v>49.147813836522403</v>
      </c>
      <c r="I150" s="19">
        <f>VLOOKUP("Couche de base",'Taux unitaires'!$B$9:$C$11,2,FALSE)</f>
        <v>200</v>
      </c>
      <c r="J150" s="19">
        <f>VLOOKUP("Revêtement de route",'Taux unitaires'!$B$9:$C$11,2,FALSE)</f>
        <v>101</v>
      </c>
      <c r="K150" s="19">
        <f t="shared" si="22"/>
        <v>88406.128555999807</v>
      </c>
      <c r="L150" s="19">
        <f t="shared" si="23"/>
        <v>44645.094920779899</v>
      </c>
      <c r="M150" s="19">
        <f t="shared" si="24"/>
        <v>89290.189841559797</v>
      </c>
      <c r="N150" s="19">
        <f t="shared" si="25"/>
        <v>177696.3183975596</v>
      </c>
      <c r="O150" s="5">
        <f>VLOOKUP(C150,'Durée de vie utile'!$B$15:$E$18,4,FALSE)</f>
        <v>125</v>
      </c>
      <c r="P150" s="5">
        <f>VLOOKUP(C150,'Durée de vie utile'!$B$15:$E$18,3,FALSE)</f>
        <v>100</v>
      </c>
      <c r="Q150" s="5">
        <f>VLOOKUP(C150,'Durée de vie utile'!$B$26:$E$29,4,FALSE)</f>
        <v>50</v>
      </c>
      <c r="R150" s="5">
        <f>VLOOKUP(C150,'Durée de vie utile'!$B$26:$E$29,3,FALSE)</f>
        <v>30</v>
      </c>
      <c r="S150" s="6">
        <f t="shared" si="26"/>
        <v>1776.9631839755959</v>
      </c>
      <c r="T150" s="6">
        <f>(N150/(1+'Autres hypothèses'!$D$5))*('Autres hypothèses'!$D$5/(((1+'Autres hypothèses'!$D$5)^Routes!P150-1)))</f>
        <v>1032.0009485620674</v>
      </c>
      <c r="U150" s="5">
        <v>1991</v>
      </c>
      <c r="V150" s="5">
        <f t="shared" si="18"/>
        <v>31</v>
      </c>
      <c r="W150" s="1">
        <f t="shared" si="19"/>
        <v>0.31</v>
      </c>
      <c r="X150" s="3">
        <f t="shared" si="20"/>
        <v>62</v>
      </c>
      <c r="Y150" s="3">
        <f t="shared" si="21"/>
        <v>138</v>
      </c>
    </row>
    <row r="151" spans="1:25" x14ac:dyDescent="0.25">
      <c r="A151" s="20" t="s">
        <v>621</v>
      </c>
      <c r="B151" s="5" t="s">
        <v>1790</v>
      </c>
      <c r="C151" s="5" t="s">
        <v>1791</v>
      </c>
      <c r="D151" s="5"/>
      <c r="E151" s="5"/>
      <c r="F151" s="5"/>
      <c r="G151" s="5">
        <v>2298.5486472100001</v>
      </c>
      <c r="H151" s="5">
        <v>194.812391768716</v>
      </c>
      <c r="I151" s="19">
        <f>VLOOKUP("Couche de base",'Taux unitaires'!$B$9:$C$11,2,FALSE)</f>
        <v>200</v>
      </c>
      <c r="J151" s="19">
        <f>VLOOKUP("Revêtement de route",'Taux unitaires'!$B$9:$C$11,2,FALSE)</f>
        <v>101</v>
      </c>
      <c r="K151" s="19">
        <f t="shared" si="22"/>
        <v>459709.72944200004</v>
      </c>
      <c r="L151" s="19">
        <f t="shared" si="23"/>
        <v>232153.41336821002</v>
      </c>
      <c r="M151" s="19">
        <f t="shared" si="24"/>
        <v>464306.82673642004</v>
      </c>
      <c r="N151" s="19">
        <f t="shared" si="25"/>
        <v>924016.55617842008</v>
      </c>
      <c r="O151" s="5">
        <f>VLOOKUP(C151,'Durée de vie utile'!$B$15:$E$18,4,FALSE)</f>
        <v>125</v>
      </c>
      <c r="P151" s="5">
        <f>VLOOKUP(C151,'Durée de vie utile'!$B$15:$E$18,3,FALSE)</f>
        <v>100</v>
      </c>
      <c r="Q151" s="5">
        <f>VLOOKUP(C151,'Durée de vie utile'!$B$26:$E$29,4,FALSE)</f>
        <v>50</v>
      </c>
      <c r="R151" s="5">
        <f>VLOOKUP(C151,'Durée de vie utile'!$B$26:$E$29,3,FALSE)</f>
        <v>30</v>
      </c>
      <c r="S151" s="6">
        <f t="shared" si="26"/>
        <v>9240.1655617842007</v>
      </c>
      <c r="T151" s="6">
        <f>(N151/(1+'Autres hypothèses'!$D$5))*('Autres hypothèses'!$D$5/(((1+'Autres hypothèses'!$D$5)^Routes!P151-1)))</f>
        <v>5366.3799625253268</v>
      </c>
      <c r="U151" s="5">
        <v>1991</v>
      </c>
      <c r="V151" s="5">
        <f t="shared" si="18"/>
        <v>31</v>
      </c>
      <c r="W151" s="1">
        <f t="shared" si="19"/>
        <v>0.31</v>
      </c>
      <c r="X151" s="3">
        <f t="shared" si="20"/>
        <v>62</v>
      </c>
      <c r="Y151" s="3">
        <f t="shared" si="21"/>
        <v>138</v>
      </c>
    </row>
    <row r="152" spans="1:25" x14ac:dyDescent="0.25">
      <c r="A152" s="20" t="s">
        <v>622</v>
      </c>
      <c r="B152" s="5" t="s">
        <v>1792</v>
      </c>
      <c r="C152" s="5" t="s">
        <v>1793</v>
      </c>
      <c r="D152" s="5"/>
      <c r="E152" s="5"/>
      <c r="F152" s="5"/>
      <c r="G152" s="5">
        <v>1436.8004431199899</v>
      </c>
      <c r="H152" s="5">
        <v>143.68004431205</v>
      </c>
      <c r="I152" s="19">
        <f>VLOOKUP("Couche de base",'Taux unitaires'!$B$9:$C$11,2,FALSE)</f>
        <v>200</v>
      </c>
      <c r="J152" s="19">
        <f>VLOOKUP("Revêtement de route",'Taux unitaires'!$B$9:$C$11,2,FALSE)</f>
        <v>101</v>
      </c>
      <c r="K152" s="19">
        <f t="shared" si="22"/>
        <v>287360.08862399799</v>
      </c>
      <c r="L152" s="19">
        <f t="shared" si="23"/>
        <v>145116.84475511897</v>
      </c>
      <c r="M152" s="19">
        <f t="shared" si="24"/>
        <v>290233.68951023795</v>
      </c>
      <c r="N152" s="19">
        <f t="shared" si="25"/>
        <v>577593.77813423588</v>
      </c>
      <c r="O152" s="5">
        <f>VLOOKUP(C152,'Durée de vie utile'!$B$15:$E$18,4,FALSE)</f>
        <v>100</v>
      </c>
      <c r="P152" s="5">
        <f>VLOOKUP(C152,'Durée de vie utile'!$B$15:$E$18,3,FALSE)</f>
        <v>80</v>
      </c>
      <c r="Q152" s="5">
        <f>VLOOKUP(C152,'Durée de vie utile'!$B$26:$E$29,4,FALSE)</f>
        <v>40</v>
      </c>
      <c r="R152" s="5">
        <f>VLOOKUP(C152,'Durée de vie utile'!$B$26:$E$29,3,FALSE)</f>
        <v>25</v>
      </c>
      <c r="S152" s="6">
        <f t="shared" si="26"/>
        <v>7219.9222266779489</v>
      </c>
      <c r="T152" s="6">
        <f>(N152/(1+'Autres hypothèses'!$D$5))*('Autres hypothèses'!$D$5/(((1+'Autres hypothèses'!$D$5)^Routes!P152-1)))</f>
        <v>4700.15513716037</v>
      </c>
      <c r="U152" s="5">
        <v>1991</v>
      </c>
      <c r="V152" s="5">
        <f t="shared" si="18"/>
        <v>31</v>
      </c>
      <c r="W152" s="1">
        <f t="shared" si="19"/>
        <v>0.38750000000000001</v>
      </c>
      <c r="X152" s="3">
        <f t="shared" si="20"/>
        <v>77.5</v>
      </c>
      <c r="Y152" s="3">
        <f t="shared" si="21"/>
        <v>122.5</v>
      </c>
    </row>
    <row r="153" spans="1:25" x14ac:dyDescent="0.25">
      <c r="A153" s="20" t="s">
        <v>623</v>
      </c>
      <c r="B153" s="5" t="s">
        <v>1794</v>
      </c>
      <c r="C153" s="5" t="s">
        <v>1795</v>
      </c>
      <c r="D153" s="5"/>
      <c r="E153" s="5"/>
      <c r="F153" s="5"/>
      <c r="G153" s="5">
        <v>565.9</v>
      </c>
      <c r="H153" s="5">
        <v>41.9</v>
      </c>
      <c r="I153" s="19">
        <f>VLOOKUP("Couche de base",'Taux unitaires'!$B$9:$C$11,2,FALSE)</f>
        <v>200</v>
      </c>
      <c r="J153" s="19">
        <f>VLOOKUP("Revêtement de route",'Taux unitaires'!$B$9:$C$11,2,FALSE)</f>
        <v>101</v>
      </c>
      <c r="K153" s="19">
        <f t="shared" si="22"/>
        <v>113180</v>
      </c>
      <c r="L153" s="19">
        <f t="shared" si="23"/>
        <v>57155.899999999994</v>
      </c>
      <c r="M153" s="19">
        <f t="shared" si="24"/>
        <v>114311.79999999999</v>
      </c>
      <c r="N153" s="19">
        <f t="shared" si="25"/>
        <v>227491.8</v>
      </c>
      <c r="O153" s="5">
        <f>VLOOKUP(C153,'Durée de vie utile'!$B$15:$E$18,4,FALSE)</f>
        <v>125</v>
      </c>
      <c r="P153" s="5">
        <f>VLOOKUP(C153,'Durée de vie utile'!$B$15:$E$18,3,FALSE)</f>
        <v>100</v>
      </c>
      <c r="Q153" s="5">
        <f>VLOOKUP(C153,'Durée de vie utile'!$B$26:$E$29,4,FALSE)</f>
        <v>50</v>
      </c>
      <c r="R153" s="5">
        <f>VLOOKUP(C153,'Durée de vie utile'!$B$26:$E$29,3,FALSE)</f>
        <v>30</v>
      </c>
      <c r="S153" s="6">
        <f t="shared" si="26"/>
        <v>2274.9179999999997</v>
      </c>
      <c r="T153" s="6">
        <f>(N153/(1+'Autres hypothèses'!$D$5))*('Autres hypothèses'!$D$5/(((1+'Autres hypothèses'!$D$5)^Routes!P153-1)))</f>
        <v>1321.1964969630815</v>
      </c>
      <c r="U153" s="5">
        <v>1991</v>
      </c>
      <c r="V153" s="5">
        <f t="shared" si="18"/>
        <v>31</v>
      </c>
      <c r="W153" s="1">
        <f t="shared" si="19"/>
        <v>0.31</v>
      </c>
      <c r="X153" s="3">
        <f t="shared" si="20"/>
        <v>62</v>
      </c>
      <c r="Y153" s="3">
        <f t="shared" si="21"/>
        <v>138</v>
      </c>
    </row>
    <row r="154" spans="1:25" x14ac:dyDescent="0.25">
      <c r="A154" s="20" t="s">
        <v>624</v>
      </c>
      <c r="B154" s="5" t="s">
        <v>1796</v>
      </c>
      <c r="C154" s="5" t="s">
        <v>1797</v>
      </c>
      <c r="D154" s="5"/>
      <c r="E154" s="5"/>
      <c r="F154" s="5"/>
      <c r="G154" s="5">
        <v>624.5</v>
      </c>
      <c r="H154" s="5">
        <v>44.6</v>
      </c>
      <c r="I154" s="19">
        <f>VLOOKUP("Couche de base",'Taux unitaires'!$B$9:$C$11,2,FALSE)</f>
        <v>200</v>
      </c>
      <c r="J154" s="19">
        <f>VLOOKUP("Revêtement de route",'Taux unitaires'!$B$9:$C$11,2,FALSE)</f>
        <v>101</v>
      </c>
      <c r="K154" s="19">
        <f t="shared" si="22"/>
        <v>124900</v>
      </c>
      <c r="L154" s="19">
        <f t="shared" si="23"/>
        <v>63074.5</v>
      </c>
      <c r="M154" s="19">
        <f t="shared" si="24"/>
        <v>126149</v>
      </c>
      <c r="N154" s="19">
        <f t="shared" si="25"/>
        <v>251049</v>
      </c>
      <c r="O154" s="5">
        <f>VLOOKUP(C154,'Durée de vie utile'!$B$15:$E$18,4,FALSE)</f>
        <v>125</v>
      </c>
      <c r="P154" s="5">
        <f>VLOOKUP(C154,'Durée de vie utile'!$B$15:$E$18,3,FALSE)</f>
        <v>100</v>
      </c>
      <c r="Q154" s="5">
        <f>VLOOKUP(C154,'Durée de vie utile'!$B$26:$E$29,4,FALSE)</f>
        <v>50</v>
      </c>
      <c r="R154" s="5">
        <f>VLOOKUP(C154,'Durée de vie utile'!$B$26:$E$29,3,FALSE)</f>
        <v>30</v>
      </c>
      <c r="S154" s="6">
        <f t="shared" si="26"/>
        <v>2510.4899999999998</v>
      </c>
      <c r="T154" s="6">
        <f>(N154/(1+'Autres hypothèses'!$D$5))*('Autres hypothèses'!$D$5/(((1+'Autres hypothèses'!$D$5)^Routes!P154-1)))</f>
        <v>1458.0088573130313</v>
      </c>
      <c r="U154" s="5">
        <v>1992</v>
      </c>
      <c r="V154" s="5">
        <f t="shared" si="18"/>
        <v>30</v>
      </c>
      <c r="W154" s="1">
        <f t="shared" si="19"/>
        <v>0.3</v>
      </c>
      <c r="X154" s="3">
        <f t="shared" si="20"/>
        <v>60</v>
      </c>
      <c r="Y154" s="3">
        <f t="shared" si="21"/>
        <v>140</v>
      </c>
    </row>
    <row r="155" spans="1:25" x14ac:dyDescent="0.25">
      <c r="A155" s="20" t="s">
        <v>625</v>
      </c>
      <c r="B155" s="5" t="s">
        <v>1798</v>
      </c>
      <c r="C155" s="5" t="s">
        <v>1799</v>
      </c>
      <c r="D155" s="5"/>
      <c r="E155" s="5"/>
      <c r="F155" s="5"/>
      <c r="G155" s="5">
        <v>484.8</v>
      </c>
      <c r="H155" s="5">
        <v>49.5</v>
      </c>
      <c r="I155" s="19">
        <f>VLOOKUP("Couche de base",'Taux unitaires'!$B$9:$C$11,2,FALSE)</f>
        <v>200</v>
      </c>
      <c r="J155" s="19">
        <f>VLOOKUP("Revêtement de route",'Taux unitaires'!$B$9:$C$11,2,FALSE)</f>
        <v>101</v>
      </c>
      <c r="K155" s="19">
        <f t="shared" si="22"/>
        <v>96960</v>
      </c>
      <c r="L155" s="19">
        <f t="shared" si="23"/>
        <v>48964.800000000003</v>
      </c>
      <c r="M155" s="19">
        <f t="shared" si="24"/>
        <v>97929.600000000006</v>
      </c>
      <c r="N155" s="19">
        <f t="shared" si="25"/>
        <v>194889.60000000001</v>
      </c>
      <c r="O155" s="5">
        <f>VLOOKUP(C155,'Durée de vie utile'!$B$15:$E$18,4,FALSE)</f>
        <v>100</v>
      </c>
      <c r="P155" s="5">
        <f>VLOOKUP(C155,'Durée de vie utile'!$B$15:$E$18,3,FALSE)</f>
        <v>80</v>
      </c>
      <c r="Q155" s="5">
        <f>VLOOKUP(C155,'Durée de vie utile'!$B$26:$E$29,4,FALSE)</f>
        <v>40</v>
      </c>
      <c r="R155" s="5">
        <f>VLOOKUP(C155,'Durée de vie utile'!$B$26:$E$29,3,FALSE)</f>
        <v>25</v>
      </c>
      <c r="S155" s="6">
        <f t="shared" si="26"/>
        <v>2436.12</v>
      </c>
      <c r="T155" s="6">
        <f>(N155/(1+'Autres hypothèses'!$D$5))*('Autres hypothèses'!$D$5/(((1+'Autres hypothèses'!$D$5)^Routes!P155-1)))</f>
        <v>1585.9093177528027</v>
      </c>
      <c r="U155" s="5">
        <v>1991</v>
      </c>
      <c r="V155" s="5">
        <f t="shared" si="18"/>
        <v>31</v>
      </c>
      <c r="W155" s="1">
        <f t="shared" si="19"/>
        <v>0.38750000000000001</v>
      </c>
      <c r="X155" s="3">
        <f t="shared" si="20"/>
        <v>77.5</v>
      </c>
      <c r="Y155" s="3">
        <f t="shared" si="21"/>
        <v>122.5</v>
      </c>
    </row>
    <row r="156" spans="1:25" x14ac:dyDescent="0.25">
      <c r="A156" s="20" t="s">
        <v>626</v>
      </c>
      <c r="B156" s="5" t="s">
        <v>1800</v>
      </c>
      <c r="C156" s="5" t="s">
        <v>1801</v>
      </c>
      <c r="D156" s="5"/>
      <c r="E156" s="5"/>
      <c r="F156" s="5"/>
      <c r="G156" s="5">
        <v>1440.5799247299899</v>
      </c>
      <c r="H156" s="5">
        <v>122.09566284808101</v>
      </c>
      <c r="I156" s="19">
        <f>VLOOKUP("Couche de base",'Taux unitaires'!$B$9:$C$11,2,FALSE)</f>
        <v>200</v>
      </c>
      <c r="J156" s="19">
        <f>VLOOKUP("Revêtement de route",'Taux unitaires'!$B$9:$C$11,2,FALSE)</f>
        <v>101</v>
      </c>
      <c r="K156" s="19">
        <f t="shared" si="22"/>
        <v>288115.984945998</v>
      </c>
      <c r="L156" s="19">
        <f t="shared" si="23"/>
        <v>145498.57239772897</v>
      </c>
      <c r="M156" s="19">
        <f t="shared" si="24"/>
        <v>290997.14479545795</v>
      </c>
      <c r="N156" s="19">
        <f t="shared" si="25"/>
        <v>579113.12974145589</v>
      </c>
      <c r="O156" s="5">
        <f>VLOOKUP(C156,'Durée de vie utile'!$B$15:$E$18,4,FALSE)</f>
        <v>125</v>
      </c>
      <c r="P156" s="5">
        <f>VLOOKUP(C156,'Durée de vie utile'!$B$15:$E$18,3,FALSE)</f>
        <v>100</v>
      </c>
      <c r="Q156" s="5">
        <f>VLOOKUP(C156,'Durée de vie utile'!$B$26:$E$29,4,FALSE)</f>
        <v>50</v>
      </c>
      <c r="R156" s="5">
        <f>VLOOKUP(C156,'Durée de vie utile'!$B$26:$E$29,3,FALSE)</f>
        <v>30</v>
      </c>
      <c r="S156" s="6">
        <f t="shared" si="26"/>
        <v>5791.1312974145585</v>
      </c>
      <c r="T156" s="6">
        <f>(N156/(1+'Autres hypothèses'!$D$5))*('Autres hypothèses'!$D$5/(((1+'Autres hypothèses'!$D$5)^Routes!P156-1)))</f>
        <v>3363.2959005983435</v>
      </c>
      <c r="U156" s="5">
        <v>1991</v>
      </c>
      <c r="V156" s="5">
        <f t="shared" si="18"/>
        <v>31</v>
      </c>
      <c r="W156" s="1">
        <f t="shared" si="19"/>
        <v>0.31</v>
      </c>
      <c r="X156" s="3">
        <f t="shared" si="20"/>
        <v>62</v>
      </c>
      <c r="Y156" s="3">
        <f t="shared" si="21"/>
        <v>138</v>
      </c>
    </row>
    <row r="157" spans="1:25" x14ac:dyDescent="0.25">
      <c r="A157" s="20" t="s">
        <v>627</v>
      </c>
      <c r="B157" s="5" t="s">
        <v>1802</v>
      </c>
      <c r="C157" s="5" t="s">
        <v>1803</v>
      </c>
      <c r="D157" s="5"/>
      <c r="E157" s="5"/>
      <c r="F157" s="5"/>
      <c r="G157" s="5">
        <v>2935.0311031299898</v>
      </c>
      <c r="H157" s="5">
        <v>257.403797378847</v>
      </c>
      <c r="I157" s="19">
        <f>VLOOKUP("Couche de base",'Taux unitaires'!$B$9:$C$11,2,FALSE)</f>
        <v>200</v>
      </c>
      <c r="J157" s="19">
        <f>VLOOKUP("Revêtement de route",'Taux unitaires'!$B$9:$C$11,2,FALSE)</f>
        <v>101</v>
      </c>
      <c r="K157" s="19">
        <f t="shared" si="22"/>
        <v>587006.22062599799</v>
      </c>
      <c r="L157" s="19">
        <f t="shared" si="23"/>
        <v>296438.14141612896</v>
      </c>
      <c r="M157" s="19">
        <f t="shared" si="24"/>
        <v>592876.28283225792</v>
      </c>
      <c r="N157" s="19">
        <f t="shared" si="25"/>
        <v>1179882.5034582559</v>
      </c>
      <c r="O157" s="5">
        <f>VLOOKUP(C157,'Durée de vie utile'!$B$15:$E$18,4,FALSE)</f>
        <v>125</v>
      </c>
      <c r="P157" s="5">
        <f>VLOOKUP(C157,'Durée de vie utile'!$B$15:$E$18,3,FALSE)</f>
        <v>100</v>
      </c>
      <c r="Q157" s="5">
        <f>VLOOKUP(C157,'Durée de vie utile'!$B$26:$E$29,4,FALSE)</f>
        <v>50</v>
      </c>
      <c r="R157" s="5">
        <f>VLOOKUP(C157,'Durée de vie utile'!$B$26:$E$29,3,FALSE)</f>
        <v>30</v>
      </c>
      <c r="S157" s="6">
        <f t="shared" si="26"/>
        <v>11798.825034582558</v>
      </c>
      <c r="T157" s="6">
        <f>(N157/(1+'Autres hypothèses'!$D$5))*('Autres hypothèses'!$D$5/(((1+'Autres hypothèses'!$D$5)^Routes!P157-1)))</f>
        <v>6852.3640429988191</v>
      </c>
      <c r="U157" s="5">
        <v>1992</v>
      </c>
      <c r="V157" s="5">
        <f t="shared" si="18"/>
        <v>30</v>
      </c>
      <c r="W157" s="1">
        <f t="shared" si="19"/>
        <v>0.3</v>
      </c>
      <c r="X157" s="3">
        <f t="shared" si="20"/>
        <v>60</v>
      </c>
      <c r="Y157" s="3">
        <f t="shared" si="21"/>
        <v>140</v>
      </c>
    </row>
    <row r="158" spans="1:25" x14ac:dyDescent="0.25">
      <c r="A158" s="20" t="s">
        <v>628</v>
      </c>
      <c r="B158" s="5" t="s">
        <v>1804</v>
      </c>
      <c r="C158" s="5" t="s">
        <v>1805</v>
      </c>
      <c r="D158" s="5"/>
      <c r="E158" s="5"/>
      <c r="F158" s="5"/>
      <c r="G158" s="5">
        <v>2326.1999999999998</v>
      </c>
      <c r="H158" s="5">
        <v>184.7</v>
      </c>
      <c r="I158" s="19">
        <f>VLOOKUP("Couche de base",'Taux unitaires'!$B$9:$C$11,2,FALSE)</f>
        <v>200</v>
      </c>
      <c r="J158" s="19">
        <f>VLOOKUP("Revêtement de route",'Taux unitaires'!$B$9:$C$11,2,FALSE)</f>
        <v>101</v>
      </c>
      <c r="K158" s="19">
        <f t="shared" si="22"/>
        <v>465239.99999999994</v>
      </c>
      <c r="L158" s="19">
        <f t="shared" si="23"/>
        <v>234946.19999999998</v>
      </c>
      <c r="M158" s="19">
        <f t="shared" si="24"/>
        <v>469892.39999999997</v>
      </c>
      <c r="N158" s="19">
        <f t="shared" si="25"/>
        <v>935132.39999999991</v>
      </c>
      <c r="O158" s="5">
        <f>VLOOKUP(C158,'Durée de vie utile'!$B$15:$E$18,4,FALSE)</f>
        <v>125</v>
      </c>
      <c r="P158" s="5">
        <f>VLOOKUP(C158,'Durée de vie utile'!$B$15:$E$18,3,FALSE)</f>
        <v>100</v>
      </c>
      <c r="Q158" s="5">
        <f>VLOOKUP(C158,'Durée de vie utile'!$B$26:$E$29,4,FALSE)</f>
        <v>50</v>
      </c>
      <c r="R158" s="5">
        <f>VLOOKUP(C158,'Durée de vie utile'!$B$26:$E$29,3,FALSE)</f>
        <v>30</v>
      </c>
      <c r="S158" s="6">
        <f t="shared" si="26"/>
        <v>9351.3239999999987</v>
      </c>
      <c r="T158" s="6">
        <f>(N158/(1+'Autres hypothèses'!$D$5))*('Autres hypothèses'!$D$5/(((1+'Autres hypothèses'!$D$5)^Routes!P158-1)))</f>
        <v>5430.9370758712139</v>
      </c>
      <c r="U158" s="5">
        <v>1992</v>
      </c>
      <c r="V158" s="5">
        <f t="shared" si="18"/>
        <v>30</v>
      </c>
      <c r="W158" s="1">
        <f t="shared" si="19"/>
        <v>0.3</v>
      </c>
      <c r="X158" s="3">
        <f t="shared" si="20"/>
        <v>60</v>
      </c>
      <c r="Y158" s="3">
        <f t="shared" si="21"/>
        <v>140</v>
      </c>
    </row>
    <row r="159" spans="1:25" x14ac:dyDescent="0.25">
      <c r="A159" s="20" t="s">
        <v>629</v>
      </c>
      <c r="B159" s="5" t="s">
        <v>1806</v>
      </c>
      <c r="C159" s="5" t="s">
        <v>1807</v>
      </c>
      <c r="D159" s="5"/>
      <c r="E159" s="5"/>
      <c r="F159" s="5"/>
      <c r="G159" s="5">
        <v>637.29999999999995</v>
      </c>
      <c r="H159" s="5">
        <v>49.1</v>
      </c>
      <c r="I159" s="19">
        <f>VLOOKUP("Couche de base",'Taux unitaires'!$B$9:$C$11,2,FALSE)</f>
        <v>200</v>
      </c>
      <c r="J159" s="19">
        <f>VLOOKUP("Revêtement de route",'Taux unitaires'!$B$9:$C$11,2,FALSE)</f>
        <v>101</v>
      </c>
      <c r="K159" s="19">
        <f t="shared" si="22"/>
        <v>127459.99999999999</v>
      </c>
      <c r="L159" s="19">
        <f t="shared" si="23"/>
        <v>64367.299999999996</v>
      </c>
      <c r="M159" s="19">
        <f t="shared" si="24"/>
        <v>128734.59999999999</v>
      </c>
      <c r="N159" s="19">
        <f t="shared" si="25"/>
        <v>256194.59999999998</v>
      </c>
      <c r="O159" s="5">
        <f>VLOOKUP(C159,'Durée de vie utile'!$B$15:$E$18,4,FALSE)</f>
        <v>125</v>
      </c>
      <c r="P159" s="5">
        <f>VLOOKUP(C159,'Durée de vie utile'!$B$15:$E$18,3,FALSE)</f>
        <v>100</v>
      </c>
      <c r="Q159" s="5">
        <f>VLOOKUP(C159,'Durée de vie utile'!$B$26:$E$29,4,FALSE)</f>
        <v>50</v>
      </c>
      <c r="R159" s="5">
        <f>VLOOKUP(C159,'Durée de vie utile'!$B$26:$E$29,3,FALSE)</f>
        <v>30</v>
      </c>
      <c r="S159" s="6">
        <f t="shared" si="26"/>
        <v>2561.9459999999999</v>
      </c>
      <c r="T159" s="6">
        <f>(N159/(1+'Autres hypothèses'!$D$5))*('Autres hypothèses'!$D$5/(((1+'Autres hypothèses'!$D$5)^Routes!P159-1)))</f>
        <v>1487.8927858536347</v>
      </c>
      <c r="U159" s="5">
        <v>1992</v>
      </c>
      <c r="V159" s="5">
        <f t="shared" si="18"/>
        <v>30</v>
      </c>
      <c r="W159" s="1">
        <f t="shared" si="19"/>
        <v>0.3</v>
      </c>
      <c r="X159" s="3">
        <f t="shared" si="20"/>
        <v>60</v>
      </c>
      <c r="Y159" s="3">
        <f t="shared" si="21"/>
        <v>140</v>
      </c>
    </row>
    <row r="160" spans="1:25" x14ac:dyDescent="0.25">
      <c r="A160" s="20" t="s">
        <v>630</v>
      </c>
      <c r="B160" s="5" t="s">
        <v>1808</v>
      </c>
      <c r="C160" s="5" t="s">
        <v>1809</v>
      </c>
      <c r="D160" s="5"/>
      <c r="E160" s="5"/>
      <c r="F160" s="5"/>
      <c r="G160" s="5">
        <v>1231.2</v>
      </c>
      <c r="H160" s="5">
        <v>90.5</v>
      </c>
      <c r="I160" s="19">
        <f>VLOOKUP("Couche de base",'Taux unitaires'!$B$9:$C$11,2,FALSE)</f>
        <v>200</v>
      </c>
      <c r="J160" s="19">
        <f>VLOOKUP("Revêtement de route",'Taux unitaires'!$B$9:$C$11,2,FALSE)</f>
        <v>101</v>
      </c>
      <c r="K160" s="19">
        <f t="shared" si="22"/>
        <v>246240</v>
      </c>
      <c r="L160" s="19">
        <f t="shared" si="23"/>
        <v>124351.20000000001</v>
      </c>
      <c r="M160" s="19">
        <f t="shared" si="24"/>
        <v>248702.40000000002</v>
      </c>
      <c r="N160" s="19">
        <f t="shared" si="25"/>
        <v>494942.4</v>
      </c>
      <c r="O160" s="5">
        <f>VLOOKUP(C160,'Durée de vie utile'!$B$15:$E$18,4,FALSE)</f>
        <v>100</v>
      </c>
      <c r="P160" s="5">
        <f>VLOOKUP(C160,'Durée de vie utile'!$B$15:$E$18,3,FALSE)</f>
        <v>80</v>
      </c>
      <c r="Q160" s="5">
        <f>VLOOKUP(C160,'Durée de vie utile'!$B$26:$E$29,4,FALSE)</f>
        <v>40</v>
      </c>
      <c r="R160" s="5">
        <f>VLOOKUP(C160,'Durée de vie utile'!$B$26:$E$29,3,FALSE)</f>
        <v>25</v>
      </c>
      <c r="S160" s="6">
        <f t="shared" si="26"/>
        <v>6186.7800000000007</v>
      </c>
      <c r="T160" s="6">
        <f>(N160/(1+'Autres hypothèses'!$D$5))*('Autres hypothèses'!$D$5/(((1+'Autres hypothèses'!$D$5)^Routes!P160-1)))</f>
        <v>4027.5815841939989</v>
      </c>
      <c r="U160" s="5">
        <v>1992</v>
      </c>
      <c r="V160" s="5">
        <f t="shared" si="18"/>
        <v>30</v>
      </c>
      <c r="W160" s="1">
        <f t="shared" si="19"/>
        <v>0.375</v>
      </c>
      <c r="X160" s="3">
        <f t="shared" si="20"/>
        <v>75</v>
      </c>
      <c r="Y160" s="3">
        <f t="shared" si="21"/>
        <v>125</v>
      </c>
    </row>
    <row r="161" spans="1:25" x14ac:dyDescent="0.25">
      <c r="A161" s="20" t="s">
        <v>631</v>
      </c>
      <c r="B161" s="5" t="s">
        <v>1810</v>
      </c>
      <c r="C161" s="5" t="s">
        <v>1811</v>
      </c>
      <c r="D161" s="5"/>
      <c r="E161" s="5"/>
      <c r="F161" s="5"/>
      <c r="G161" s="5">
        <v>3663.5</v>
      </c>
      <c r="H161" s="5">
        <v>200.3</v>
      </c>
      <c r="I161" s="19">
        <f>VLOOKUP("Couche de base",'Taux unitaires'!$B$9:$C$11,2,FALSE)</f>
        <v>200</v>
      </c>
      <c r="J161" s="19">
        <f>VLOOKUP("Revêtement de route",'Taux unitaires'!$B$9:$C$11,2,FALSE)</f>
        <v>101</v>
      </c>
      <c r="K161" s="19">
        <f t="shared" si="22"/>
        <v>732700</v>
      </c>
      <c r="L161" s="19">
        <f t="shared" si="23"/>
        <v>370013.5</v>
      </c>
      <c r="M161" s="19">
        <f t="shared" si="24"/>
        <v>740027</v>
      </c>
      <c r="N161" s="19">
        <f t="shared" si="25"/>
        <v>1472727</v>
      </c>
      <c r="O161" s="5">
        <f>VLOOKUP(C161,'Durée de vie utile'!$B$15:$E$18,4,FALSE)</f>
        <v>125</v>
      </c>
      <c r="P161" s="5">
        <f>VLOOKUP(C161,'Durée de vie utile'!$B$15:$E$18,3,FALSE)</f>
        <v>100</v>
      </c>
      <c r="Q161" s="5">
        <f>VLOOKUP(C161,'Durée de vie utile'!$B$26:$E$29,4,FALSE)</f>
        <v>50</v>
      </c>
      <c r="R161" s="5">
        <f>VLOOKUP(C161,'Durée de vie utile'!$B$26:$E$29,3,FALSE)</f>
        <v>30</v>
      </c>
      <c r="S161" s="6">
        <f t="shared" si="26"/>
        <v>14727.27</v>
      </c>
      <c r="T161" s="6">
        <f>(N161/(1+'Autres hypothèses'!$D$5))*('Autres hypothèses'!$D$5/(((1+'Autres hypothèses'!$D$5)^Routes!P161-1)))</f>
        <v>8553.1072037890954</v>
      </c>
      <c r="U161" s="5">
        <v>1992</v>
      </c>
      <c r="V161" s="5">
        <f t="shared" si="18"/>
        <v>30</v>
      </c>
      <c r="W161" s="1">
        <f t="shared" si="19"/>
        <v>0.3</v>
      </c>
      <c r="X161" s="3">
        <f t="shared" si="20"/>
        <v>60</v>
      </c>
      <c r="Y161" s="3">
        <f t="shared" si="21"/>
        <v>140</v>
      </c>
    </row>
    <row r="162" spans="1:25" x14ac:dyDescent="0.25">
      <c r="A162" s="20" t="s">
        <v>632</v>
      </c>
      <c r="B162" s="5" t="s">
        <v>1812</v>
      </c>
      <c r="C162" s="5" t="s">
        <v>1813</v>
      </c>
      <c r="D162" s="5"/>
      <c r="E162" s="5"/>
      <c r="F162" s="5"/>
      <c r="G162" s="5">
        <v>5445.3949699599898</v>
      </c>
      <c r="H162" s="5">
        <v>470.02356597651101</v>
      </c>
      <c r="I162" s="19">
        <f>VLOOKUP("Couche de base",'Taux unitaires'!$B$9:$C$11,2,FALSE)</f>
        <v>200</v>
      </c>
      <c r="J162" s="19">
        <f>VLOOKUP("Revêtement de route",'Taux unitaires'!$B$9:$C$11,2,FALSE)</f>
        <v>101</v>
      </c>
      <c r="K162" s="19">
        <f t="shared" si="22"/>
        <v>1089078.993991998</v>
      </c>
      <c r="L162" s="19">
        <f t="shared" si="23"/>
        <v>549984.89196595899</v>
      </c>
      <c r="M162" s="19">
        <f t="shared" si="24"/>
        <v>1099969.783931918</v>
      </c>
      <c r="N162" s="19">
        <f t="shared" si="25"/>
        <v>2189048.777923916</v>
      </c>
      <c r="O162" s="5">
        <f>VLOOKUP(C162,'Durée de vie utile'!$B$15:$E$18,4,FALSE)</f>
        <v>100</v>
      </c>
      <c r="P162" s="5">
        <f>VLOOKUP(C162,'Durée de vie utile'!$B$15:$E$18,3,FALSE)</f>
        <v>80</v>
      </c>
      <c r="Q162" s="5">
        <f>VLOOKUP(C162,'Durée de vie utile'!$B$26:$E$29,4,FALSE)</f>
        <v>40</v>
      </c>
      <c r="R162" s="5">
        <f>VLOOKUP(C162,'Durée de vie utile'!$B$26:$E$29,3,FALSE)</f>
        <v>25</v>
      </c>
      <c r="S162" s="6">
        <f t="shared" si="26"/>
        <v>27363.109724048951</v>
      </c>
      <c r="T162" s="6">
        <f>(N162/(1+'Autres hypothèses'!$D$5))*('Autres hypothèses'!$D$5/(((1+'Autres hypothèses'!$D$5)^Routes!P162-1)))</f>
        <v>17813.330490313103</v>
      </c>
      <c r="U162" s="5">
        <v>1992</v>
      </c>
      <c r="V162" s="5">
        <f t="shared" si="18"/>
        <v>30</v>
      </c>
      <c r="W162" s="1">
        <f t="shared" si="19"/>
        <v>0.375</v>
      </c>
      <c r="X162" s="3">
        <f t="shared" si="20"/>
        <v>75</v>
      </c>
      <c r="Y162" s="3">
        <f t="shared" si="21"/>
        <v>125</v>
      </c>
    </row>
    <row r="163" spans="1:25" x14ac:dyDescent="0.25">
      <c r="A163" s="20" t="s">
        <v>633</v>
      </c>
      <c r="B163" s="5" t="s">
        <v>1814</v>
      </c>
      <c r="C163" s="5" t="s">
        <v>1815</v>
      </c>
      <c r="D163" s="5"/>
      <c r="E163" s="5"/>
      <c r="F163" s="5"/>
      <c r="G163" s="5">
        <v>1379.50714248999</v>
      </c>
      <c r="H163" s="5">
        <v>148.353554961067</v>
      </c>
      <c r="I163" s="19">
        <f>VLOOKUP("Couche de base",'Taux unitaires'!$B$9:$C$11,2,FALSE)</f>
        <v>200</v>
      </c>
      <c r="J163" s="19">
        <f>VLOOKUP("Revêtement de route",'Taux unitaires'!$B$9:$C$11,2,FALSE)</f>
        <v>101</v>
      </c>
      <c r="K163" s="19">
        <f t="shared" si="22"/>
        <v>275901.42849799799</v>
      </c>
      <c r="L163" s="19">
        <f t="shared" si="23"/>
        <v>139330.221391489</v>
      </c>
      <c r="M163" s="19">
        <f t="shared" si="24"/>
        <v>278660.442782978</v>
      </c>
      <c r="N163" s="19">
        <f t="shared" si="25"/>
        <v>554561.87128097599</v>
      </c>
      <c r="O163" s="5">
        <f>VLOOKUP(C163,'Durée de vie utile'!$B$15:$E$18,4,FALSE)</f>
        <v>125</v>
      </c>
      <c r="P163" s="5">
        <f>VLOOKUP(C163,'Durée de vie utile'!$B$15:$E$18,3,FALSE)</f>
        <v>100</v>
      </c>
      <c r="Q163" s="5">
        <f>VLOOKUP(C163,'Durée de vie utile'!$B$26:$E$29,4,FALSE)</f>
        <v>50</v>
      </c>
      <c r="R163" s="5">
        <f>VLOOKUP(C163,'Durée de vie utile'!$B$26:$E$29,3,FALSE)</f>
        <v>30</v>
      </c>
      <c r="S163" s="6">
        <f t="shared" si="26"/>
        <v>5545.6187128097599</v>
      </c>
      <c r="T163" s="6">
        <f>(N163/(1+'Autres hypothèses'!$D$5))*('Autres hypothèses'!$D$5/(((1+'Autres hypothèses'!$D$5)^Routes!P163-1)))</f>
        <v>3220.7103802674069</v>
      </c>
      <c r="U163" s="5">
        <v>1996</v>
      </c>
      <c r="V163" s="5">
        <f t="shared" si="18"/>
        <v>26</v>
      </c>
      <c r="W163" s="1">
        <f t="shared" si="19"/>
        <v>0.26</v>
      </c>
      <c r="X163" s="3">
        <f t="shared" si="20"/>
        <v>52</v>
      </c>
      <c r="Y163" s="3">
        <f t="shared" si="21"/>
        <v>148</v>
      </c>
    </row>
    <row r="164" spans="1:25" x14ac:dyDescent="0.25">
      <c r="A164" s="20" t="s">
        <v>634</v>
      </c>
      <c r="B164" s="5" t="s">
        <v>1816</v>
      </c>
      <c r="C164" s="5" t="s">
        <v>1817</v>
      </c>
      <c r="D164" s="5"/>
      <c r="E164" s="5"/>
      <c r="F164" s="5"/>
      <c r="G164" s="5">
        <v>152.1</v>
      </c>
      <c r="H164" s="5">
        <v>20.3</v>
      </c>
      <c r="I164" s="19">
        <f>VLOOKUP("Couche de base",'Taux unitaires'!$B$9:$C$11,2,FALSE)</f>
        <v>200</v>
      </c>
      <c r="J164" s="19">
        <f>VLOOKUP("Revêtement de route",'Taux unitaires'!$B$9:$C$11,2,FALSE)</f>
        <v>101</v>
      </c>
      <c r="K164" s="19">
        <f t="shared" si="22"/>
        <v>30420</v>
      </c>
      <c r="L164" s="19">
        <f t="shared" si="23"/>
        <v>15362.099999999999</v>
      </c>
      <c r="M164" s="19">
        <f t="shared" si="24"/>
        <v>30724.199999999997</v>
      </c>
      <c r="N164" s="19">
        <f t="shared" si="25"/>
        <v>61144.2</v>
      </c>
      <c r="O164" s="5">
        <f>VLOOKUP(C164,'Durée de vie utile'!$B$15:$E$18,4,FALSE)</f>
        <v>125</v>
      </c>
      <c r="P164" s="5">
        <f>VLOOKUP(C164,'Durée de vie utile'!$B$15:$E$18,3,FALSE)</f>
        <v>100</v>
      </c>
      <c r="Q164" s="5">
        <f>VLOOKUP(C164,'Durée de vie utile'!$B$26:$E$29,4,FALSE)</f>
        <v>50</v>
      </c>
      <c r="R164" s="5">
        <f>VLOOKUP(C164,'Durée de vie utile'!$B$26:$E$29,3,FALSE)</f>
        <v>30</v>
      </c>
      <c r="S164" s="6">
        <f t="shared" si="26"/>
        <v>611.44200000000001</v>
      </c>
      <c r="T164" s="6">
        <f>(N164/(1+'Autres hypothèses'!$D$5))*('Autres hypothèses'!$D$5/(((1+'Autres hypothèses'!$D$5)^Routes!P164-1)))</f>
        <v>355.10511961138843</v>
      </c>
      <c r="U164" s="5">
        <v>1992</v>
      </c>
      <c r="V164" s="5">
        <f t="shared" si="18"/>
        <v>30</v>
      </c>
      <c r="W164" s="1">
        <f t="shared" si="19"/>
        <v>0.3</v>
      </c>
      <c r="X164" s="3">
        <f t="shared" si="20"/>
        <v>60</v>
      </c>
      <c r="Y164" s="3">
        <f t="shared" si="21"/>
        <v>140</v>
      </c>
    </row>
    <row r="165" spans="1:25" x14ac:dyDescent="0.25">
      <c r="A165" s="20" t="s">
        <v>635</v>
      </c>
      <c r="B165" s="5" t="s">
        <v>1818</v>
      </c>
      <c r="C165" s="5" t="s">
        <v>1819</v>
      </c>
      <c r="D165" s="5"/>
      <c r="E165" s="5"/>
      <c r="F165" s="5"/>
      <c r="G165" s="5">
        <v>3686.2821449799899</v>
      </c>
      <c r="H165" s="5">
        <v>287.881081771298</v>
      </c>
      <c r="I165" s="19">
        <f>VLOOKUP("Couche de base",'Taux unitaires'!$B$9:$C$11,2,FALSE)</f>
        <v>200</v>
      </c>
      <c r="J165" s="19">
        <f>VLOOKUP("Revêtement de route",'Taux unitaires'!$B$9:$C$11,2,FALSE)</f>
        <v>101</v>
      </c>
      <c r="K165" s="19">
        <f t="shared" si="22"/>
        <v>737256.42899599799</v>
      </c>
      <c r="L165" s="19">
        <f t="shared" si="23"/>
        <v>372314.49664297898</v>
      </c>
      <c r="M165" s="19">
        <f t="shared" si="24"/>
        <v>744628.99328595796</v>
      </c>
      <c r="N165" s="19">
        <f t="shared" si="25"/>
        <v>1481885.4222819558</v>
      </c>
      <c r="O165" s="5">
        <f>VLOOKUP(C165,'Durée de vie utile'!$B$15:$E$18,4,FALSE)</f>
        <v>125</v>
      </c>
      <c r="P165" s="5">
        <f>VLOOKUP(C165,'Durée de vie utile'!$B$15:$E$18,3,FALSE)</f>
        <v>100</v>
      </c>
      <c r="Q165" s="5">
        <f>VLOOKUP(C165,'Durée de vie utile'!$B$26:$E$29,4,FALSE)</f>
        <v>50</v>
      </c>
      <c r="R165" s="5">
        <f>VLOOKUP(C165,'Durée de vie utile'!$B$26:$E$29,3,FALSE)</f>
        <v>30</v>
      </c>
      <c r="S165" s="6">
        <f t="shared" si="26"/>
        <v>14818.854222819558</v>
      </c>
      <c r="T165" s="6">
        <f>(N165/(1+'Autres hypothèses'!$D$5))*('Autres hypothèses'!$D$5/(((1+'Autres hypothèses'!$D$5)^Routes!P165-1)))</f>
        <v>8606.2962657096959</v>
      </c>
      <c r="U165" s="5">
        <v>1992</v>
      </c>
      <c r="V165" s="5">
        <f t="shared" si="18"/>
        <v>30</v>
      </c>
      <c r="W165" s="1">
        <f t="shared" si="19"/>
        <v>0.3</v>
      </c>
      <c r="X165" s="3">
        <f t="shared" si="20"/>
        <v>60</v>
      </c>
      <c r="Y165" s="3">
        <f t="shared" si="21"/>
        <v>140</v>
      </c>
    </row>
    <row r="166" spans="1:25" x14ac:dyDescent="0.25">
      <c r="A166" s="20" t="s">
        <v>636</v>
      </c>
      <c r="B166" s="5" t="s">
        <v>1820</v>
      </c>
      <c r="C166" s="5" t="s">
        <v>1821</v>
      </c>
      <c r="D166" s="5"/>
      <c r="E166" s="5"/>
      <c r="F166" s="5"/>
      <c r="G166" s="5">
        <v>7553.4</v>
      </c>
      <c r="H166" s="5">
        <v>1049.8</v>
      </c>
      <c r="I166" s="19">
        <f>VLOOKUP("Couche de base",'Taux unitaires'!$B$9:$C$11,2,FALSE)</f>
        <v>200</v>
      </c>
      <c r="J166" s="19">
        <f>VLOOKUP("Revêtement de route",'Taux unitaires'!$B$9:$C$11,2,FALSE)</f>
        <v>101</v>
      </c>
      <c r="K166" s="19">
        <f t="shared" si="22"/>
        <v>1510680</v>
      </c>
      <c r="L166" s="19">
        <f t="shared" si="23"/>
        <v>762893.39999999991</v>
      </c>
      <c r="M166" s="19">
        <f t="shared" si="24"/>
        <v>1525786.7999999998</v>
      </c>
      <c r="N166" s="19">
        <f t="shared" si="25"/>
        <v>3036466.8</v>
      </c>
      <c r="O166" s="5">
        <f>VLOOKUP(C166,'Durée de vie utile'!$B$15:$E$18,4,FALSE)</f>
        <v>125</v>
      </c>
      <c r="P166" s="5">
        <f>VLOOKUP(C166,'Durée de vie utile'!$B$15:$E$18,3,FALSE)</f>
        <v>100</v>
      </c>
      <c r="Q166" s="5">
        <f>VLOOKUP(C166,'Durée de vie utile'!$B$26:$E$29,4,FALSE)</f>
        <v>50</v>
      </c>
      <c r="R166" s="5">
        <f>VLOOKUP(C166,'Durée de vie utile'!$B$26:$E$29,3,FALSE)</f>
        <v>30</v>
      </c>
      <c r="S166" s="6">
        <f t="shared" si="26"/>
        <v>30364.667999999998</v>
      </c>
      <c r="T166" s="6">
        <f>(N166/(1+'Autres hypothèses'!$D$5))*('Autres hypothèses'!$D$5/(((1+'Autres hypothèses'!$D$5)^Routes!P166-1)))</f>
        <v>17634.786393640115</v>
      </c>
      <c r="U166" s="5">
        <v>1993</v>
      </c>
      <c r="V166" s="5">
        <f t="shared" si="18"/>
        <v>29</v>
      </c>
      <c r="W166" s="1">
        <f t="shared" si="19"/>
        <v>0.28999999999999998</v>
      </c>
      <c r="X166" s="3">
        <f t="shared" si="20"/>
        <v>57.999999999999993</v>
      </c>
      <c r="Y166" s="3">
        <f t="shared" si="21"/>
        <v>142</v>
      </c>
    </row>
    <row r="167" spans="1:25" x14ac:dyDescent="0.25">
      <c r="A167" s="20" t="s">
        <v>637</v>
      </c>
      <c r="B167" s="5" t="s">
        <v>1822</v>
      </c>
      <c r="C167" s="5" t="s">
        <v>1823</v>
      </c>
      <c r="D167" s="5"/>
      <c r="E167" s="5"/>
      <c r="F167" s="5"/>
      <c r="G167" s="5">
        <v>471.69191660000001</v>
      </c>
      <c r="H167" s="5">
        <v>50.232126195975603</v>
      </c>
      <c r="I167" s="19">
        <f>VLOOKUP("Couche de base",'Taux unitaires'!$B$9:$C$11,2,FALSE)</f>
        <v>200</v>
      </c>
      <c r="J167" s="19">
        <f>VLOOKUP("Revêtement de route",'Taux unitaires'!$B$9:$C$11,2,FALSE)</f>
        <v>101</v>
      </c>
      <c r="K167" s="19">
        <f t="shared" si="22"/>
        <v>94338.383320000008</v>
      </c>
      <c r="L167" s="19">
        <f t="shared" si="23"/>
        <v>47640.883576600005</v>
      </c>
      <c r="M167" s="19">
        <f t="shared" si="24"/>
        <v>95281.767153200009</v>
      </c>
      <c r="N167" s="19">
        <f t="shared" si="25"/>
        <v>189620.15047320002</v>
      </c>
      <c r="O167" s="5">
        <f>VLOOKUP(C167,'Durée de vie utile'!$B$15:$E$18,4,FALSE)</f>
        <v>125</v>
      </c>
      <c r="P167" s="5">
        <f>VLOOKUP(C167,'Durée de vie utile'!$B$15:$E$18,3,FALSE)</f>
        <v>100</v>
      </c>
      <c r="Q167" s="5">
        <f>VLOOKUP(C167,'Durée de vie utile'!$B$26:$E$29,4,FALSE)</f>
        <v>50</v>
      </c>
      <c r="R167" s="5">
        <f>VLOOKUP(C167,'Durée de vie utile'!$B$26:$E$29,3,FALSE)</f>
        <v>30</v>
      </c>
      <c r="S167" s="6">
        <f t="shared" si="26"/>
        <v>1896.2015047320001</v>
      </c>
      <c r="T167" s="6">
        <f>(N167/(1+'Autres hypothèses'!$D$5))*('Autres hypothèses'!$D$5/(((1+'Autres hypothèses'!$D$5)^Routes!P167-1)))</f>
        <v>1101.2505881917689</v>
      </c>
      <c r="U167" s="5">
        <v>1996</v>
      </c>
      <c r="V167" s="5">
        <f t="shared" si="18"/>
        <v>26</v>
      </c>
      <c r="W167" s="1">
        <f t="shared" si="19"/>
        <v>0.26</v>
      </c>
      <c r="X167" s="3">
        <f t="shared" si="20"/>
        <v>52</v>
      </c>
      <c r="Y167" s="3">
        <f t="shared" si="21"/>
        <v>148</v>
      </c>
    </row>
    <row r="168" spans="1:25" x14ac:dyDescent="0.25">
      <c r="A168" s="20" t="s">
        <v>638</v>
      </c>
      <c r="B168" s="5" t="s">
        <v>1824</v>
      </c>
      <c r="C168" s="5" t="s">
        <v>1825</v>
      </c>
      <c r="D168" s="5"/>
      <c r="E168" s="5"/>
      <c r="F168" s="5"/>
      <c r="G168" s="5">
        <v>2469.1</v>
      </c>
      <c r="H168" s="5">
        <v>277.39999999999998</v>
      </c>
      <c r="I168" s="19">
        <f>VLOOKUP("Couche de base",'Taux unitaires'!$B$9:$C$11,2,FALSE)</f>
        <v>200</v>
      </c>
      <c r="J168" s="19">
        <f>VLOOKUP("Revêtement de route",'Taux unitaires'!$B$9:$C$11,2,FALSE)</f>
        <v>101</v>
      </c>
      <c r="K168" s="19">
        <f t="shared" si="22"/>
        <v>493820</v>
      </c>
      <c r="L168" s="19">
        <f t="shared" si="23"/>
        <v>249379.09999999998</v>
      </c>
      <c r="M168" s="19">
        <f t="shared" si="24"/>
        <v>498758.19999999995</v>
      </c>
      <c r="N168" s="19">
        <f t="shared" si="25"/>
        <v>992578.2</v>
      </c>
      <c r="O168" s="5">
        <f>VLOOKUP(C168,'Durée de vie utile'!$B$15:$E$18,4,FALSE)</f>
        <v>125</v>
      </c>
      <c r="P168" s="5">
        <f>VLOOKUP(C168,'Durée de vie utile'!$B$15:$E$18,3,FALSE)</f>
        <v>100</v>
      </c>
      <c r="Q168" s="5">
        <f>VLOOKUP(C168,'Durée de vie utile'!$B$26:$E$29,4,FALSE)</f>
        <v>50</v>
      </c>
      <c r="R168" s="5">
        <f>VLOOKUP(C168,'Durée de vie utile'!$B$26:$E$29,3,FALSE)</f>
        <v>30</v>
      </c>
      <c r="S168" s="6">
        <f t="shared" si="26"/>
        <v>9925.7819999999992</v>
      </c>
      <c r="T168" s="6">
        <f>(N168/(1+'Autres hypothèses'!$D$5))*('Autres hypothèses'!$D$5/(((1+'Autres hypothèses'!$D$5)^Routes!P168-1)))</f>
        <v>5764.5631218440449</v>
      </c>
      <c r="U168" s="5">
        <v>1993</v>
      </c>
      <c r="V168" s="5">
        <f t="shared" si="18"/>
        <v>29</v>
      </c>
      <c r="W168" s="1">
        <f t="shared" si="19"/>
        <v>0.28999999999999998</v>
      </c>
      <c r="X168" s="3">
        <f t="shared" si="20"/>
        <v>57.999999999999993</v>
      </c>
      <c r="Y168" s="3">
        <f t="shared" si="21"/>
        <v>142</v>
      </c>
    </row>
    <row r="169" spans="1:25" x14ac:dyDescent="0.25">
      <c r="A169" s="20" t="s">
        <v>639</v>
      </c>
      <c r="B169" s="5" t="s">
        <v>1826</v>
      </c>
      <c r="C169" s="5" t="s">
        <v>1827</v>
      </c>
      <c r="D169" s="5"/>
      <c r="E169" s="5"/>
      <c r="F169" s="5"/>
      <c r="G169" s="5">
        <v>878.2</v>
      </c>
      <c r="H169" s="5">
        <v>57</v>
      </c>
      <c r="I169" s="19">
        <f>VLOOKUP("Couche de base",'Taux unitaires'!$B$9:$C$11,2,FALSE)</f>
        <v>200</v>
      </c>
      <c r="J169" s="19">
        <f>VLOOKUP("Revêtement de route",'Taux unitaires'!$B$9:$C$11,2,FALSE)</f>
        <v>101</v>
      </c>
      <c r="K169" s="19">
        <f t="shared" si="22"/>
        <v>175640</v>
      </c>
      <c r="L169" s="19">
        <f t="shared" si="23"/>
        <v>88698.200000000012</v>
      </c>
      <c r="M169" s="19">
        <f t="shared" si="24"/>
        <v>177396.40000000002</v>
      </c>
      <c r="N169" s="19">
        <f t="shared" si="25"/>
        <v>353036.4</v>
      </c>
      <c r="O169" s="5">
        <f>VLOOKUP(C169,'Durée de vie utile'!$B$15:$E$18,4,FALSE)</f>
        <v>125</v>
      </c>
      <c r="P169" s="5">
        <f>VLOOKUP(C169,'Durée de vie utile'!$B$15:$E$18,3,FALSE)</f>
        <v>100</v>
      </c>
      <c r="Q169" s="5">
        <f>VLOOKUP(C169,'Durée de vie utile'!$B$26:$E$29,4,FALSE)</f>
        <v>50</v>
      </c>
      <c r="R169" s="5">
        <f>VLOOKUP(C169,'Durée de vie utile'!$B$26:$E$29,3,FALSE)</f>
        <v>30</v>
      </c>
      <c r="S169" s="6">
        <f t="shared" si="26"/>
        <v>3530.364</v>
      </c>
      <c r="T169" s="6">
        <f>(N169/(1+'Autres hypothèses'!$D$5))*('Autres hypothèses'!$D$5/(((1+'Autres hypothèses'!$D$5)^Routes!P169-1)))</f>
        <v>2050.3176597154593</v>
      </c>
      <c r="U169" s="5">
        <v>1996</v>
      </c>
      <c r="V169" s="5">
        <f t="shared" si="18"/>
        <v>26</v>
      </c>
      <c r="W169" s="1">
        <f t="shared" si="19"/>
        <v>0.26</v>
      </c>
      <c r="X169" s="3">
        <f t="shared" si="20"/>
        <v>52</v>
      </c>
      <c r="Y169" s="3">
        <f t="shared" si="21"/>
        <v>148</v>
      </c>
    </row>
    <row r="170" spans="1:25" x14ac:dyDescent="0.25">
      <c r="A170" s="20" t="s">
        <v>640</v>
      </c>
      <c r="B170" s="5" t="s">
        <v>1828</v>
      </c>
      <c r="C170" s="5" t="s">
        <v>1829</v>
      </c>
      <c r="D170" s="5"/>
      <c r="E170" s="5"/>
      <c r="F170" s="5"/>
      <c r="G170" s="5">
        <v>1276.4000000000001</v>
      </c>
      <c r="H170" s="5">
        <v>135.9</v>
      </c>
      <c r="I170" s="19">
        <f>VLOOKUP("Couche de base",'Taux unitaires'!$B$9:$C$11,2,FALSE)</f>
        <v>200</v>
      </c>
      <c r="J170" s="19">
        <f>VLOOKUP("Revêtement de route",'Taux unitaires'!$B$9:$C$11,2,FALSE)</f>
        <v>101</v>
      </c>
      <c r="K170" s="19">
        <f t="shared" si="22"/>
        <v>255280.00000000003</v>
      </c>
      <c r="L170" s="19">
        <f t="shared" si="23"/>
        <v>128916.40000000001</v>
      </c>
      <c r="M170" s="19">
        <f t="shared" si="24"/>
        <v>257832.80000000002</v>
      </c>
      <c r="N170" s="19">
        <f t="shared" si="25"/>
        <v>513112.80000000005</v>
      </c>
      <c r="O170" s="5">
        <f>VLOOKUP(C170,'Durée de vie utile'!$B$15:$E$18,4,FALSE)</f>
        <v>125</v>
      </c>
      <c r="P170" s="5">
        <f>VLOOKUP(C170,'Durée de vie utile'!$B$15:$E$18,3,FALSE)</f>
        <v>100</v>
      </c>
      <c r="Q170" s="5">
        <f>VLOOKUP(C170,'Durée de vie utile'!$B$26:$E$29,4,FALSE)</f>
        <v>50</v>
      </c>
      <c r="R170" s="5">
        <f>VLOOKUP(C170,'Durée de vie utile'!$B$26:$E$29,3,FALSE)</f>
        <v>30</v>
      </c>
      <c r="S170" s="6">
        <f t="shared" si="26"/>
        <v>5131.1280000000006</v>
      </c>
      <c r="T170" s="6">
        <f>(N170/(1+'Autres hypothèses'!$D$5))*('Autres hypothèses'!$D$5/(((1+'Autres hypothèses'!$D$5)^Routes!P170-1)))</f>
        <v>2979.987999158292</v>
      </c>
      <c r="U170" s="5">
        <v>1996</v>
      </c>
      <c r="V170" s="5">
        <f t="shared" si="18"/>
        <v>26</v>
      </c>
      <c r="W170" s="1">
        <f t="shared" si="19"/>
        <v>0.26</v>
      </c>
      <c r="X170" s="3">
        <f t="shared" si="20"/>
        <v>52</v>
      </c>
      <c r="Y170" s="3">
        <f t="shared" si="21"/>
        <v>148</v>
      </c>
    </row>
    <row r="171" spans="1:25" x14ac:dyDescent="0.25">
      <c r="A171" s="20" t="s">
        <v>641</v>
      </c>
      <c r="B171" s="5" t="s">
        <v>1830</v>
      </c>
      <c r="C171" s="5" t="s">
        <v>1831</v>
      </c>
      <c r="D171" s="5"/>
      <c r="E171" s="5"/>
      <c r="F171" s="5"/>
      <c r="G171" s="5">
        <v>3152.3</v>
      </c>
      <c r="H171" s="5">
        <v>166</v>
      </c>
      <c r="I171" s="19">
        <f>VLOOKUP("Couche de base",'Taux unitaires'!$B$9:$C$11,2,FALSE)</f>
        <v>200</v>
      </c>
      <c r="J171" s="19">
        <f>VLOOKUP("Revêtement de route",'Taux unitaires'!$B$9:$C$11,2,FALSE)</f>
        <v>101</v>
      </c>
      <c r="K171" s="19">
        <f t="shared" si="22"/>
        <v>630460</v>
      </c>
      <c r="L171" s="19">
        <f t="shared" si="23"/>
        <v>318382.30000000005</v>
      </c>
      <c r="M171" s="19">
        <f t="shared" si="24"/>
        <v>636764.60000000009</v>
      </c>
      <c r="N171" s="19">
        <f t="shared" si="25"/>
        <v>1267224.6000000001</v>
      </c>
      <c r="O171" s="5">
        <f>VLOOKUP(C171,'Durée de vie utile'!$B$15:$E$18,4,FALSE)</f>
        <v>125</v>
      </c>
      <c r="P171" s="5">
        <f>VLOOKUP(C171,'Durée de vie utile'!$B$15:$E$18,3,FALSE)</f>
        <v>100</v>
      </c>
      <c r="Q171" s="5">
        <f>VLOOKUP(C171,'Durée de vie utile'!$B$26:$E$29,4,FALSE)</f>
        <v>50</v>
      </c>
      <c r="R171" s="5">
        <f>VLOOKUP(C171,'Durée de vie utile'!$B$26:$E$29,3,FALSE)</f>
        <v>30</v>
      </c>
      <c r="S171" s="6">
        <f t="shared" si="26"/>
        <v>12672.246000000001</v>
      </c>
      <c r="T171" s="6">
        <f>(N171/(1+'Autres hypothèses'!$D$5))*('Autres hypothèses'!$D$5/(((1+'Autres hypothèses'!$D$5)^Routes!P171-1)))</f>
        <v>7359.6178076987499</v>
      </c>
      <c r="U171" s="5">
        <v>1996</v>
      </c>
      <c r="V171" s="5">
        <f t="shared" si="18"/>
        <v>26</v>
      </c>
      <c r="W171" s="1">
        <f t="shared" si="19"/>
        <v>0.26</v>
      </c>
      <c r="X171" s="3">
        <f t="shared" si="20"/>
        <v>52</v>
      </c>
      <c r="Y171" s="3">
        <f t="shared" si="21"/>
        <v>148</v>
      </c>
    </row>
    <row r="172" spans="1:25" x14ac:dyDescent="0.25">
      <c r="A172" s="20" t="s">
        <v>642</v>
      </c>
      <c r="B172" s="5" t="s">
        <v>1832</v>
      </c>
      <c r="C172" s="5" t="s">
        <v>1833</v>
      </c>
      <c r="D172" s="5"/>
      <c r="E172" s="5"/>
      <c r="F172" s="5"/>
      <c r="G172" s="5">
        <v>1035.07401965999</v>
      </c>
      <c r="H172" s="5">
        <v>85.517450466741906</v>
      </c>
      <c r="I172" s="19">
        <f>VLOOKUP("Couche de base",'Taux unitaires'!$B$9:$C$11,2,FALSE)</f>
        <v>200</v>
      </c>
      <c r="J172" s="19">
        <f>VLOOKUP("Revêtement de route",'Taux unitaires'!$B$9:$C$11,2,FALSE)</f>
        <v>101</v>
      </c>
      <c r="K172" s="19">
        <f t="shared" si="22"/>
        <v>207014.803931998</v>
      </c>
      <c r="L172" s="19">
        <f t="shared" si="23"/>
        <v>104542.47598565898</v>
      </c>
      <c r="M172" s="19">
        <f t="shared" si="24"/>
        <v>209084.95197131796</v>
      </c>
      <c r="N172" s="19">
        <f t="shared" si="25"/>
        <v>416099.75590331596</v>
      </c>
      <c r="O172" s="5">
        <f>VLOOKUP(C172,'Durée de vie utile'!$B$15:$E$18,4,FALSE)</f>
        <v>125</v>
      </c>
      <c r="P172" s="5">
        <f>VLOOKUP(C172,'Durée de vie utile'!$B$15:$E$18,3,FALSE)</f>
        <v>100</v>
      </c>
      <c r="Q172" s="5">
        <f>VLOOKUP(C172,'Durée de vie utile'!$B$26:$E$29,4,FALSE)</f>
        <v>50</v>
      </c>
      <c r="R172" s="5">
        <f>VLOOKUP(C172,'Durée de vie utile'!$B$26:$E$29,3,FALSE)</f>
        <v>30</v>
      </c>
      <c r="S172" s="6">
        <f t="shared" si="26"/>
        <v>4160.9975590331596</v>
      </c>
      <c r="T172" s="6">
        <f>(N172/(1+'Autres hypothèses'!$D$5))*('Autres hypothèses'!$D$5/(((1+'Autres hypothèses'!$D$5)^Routes!P172-1)))</f>
        <v>2416.5685966995488</v>
      </c>
      <c r="U172" s="5">
        <v>1993</v>
      </c>
      <c r="V172" s="5">
        <f t="shared" si="18"/>
        <v>29</v>
      </c>
      <c r="W172" s="1">
        <f t="shared" si="19"/>
        <v>0.28999999999999998</v>
      </c>
      <c r="X172" s="3">
        <f t="shared" si="20"/>
        <v>57.999999999999993</v>
      </c>
      <c r="Y172" s="3">
        <f t="shared" si="21"/>
        <v>142</v>
      </c>
    </row>
    <row r="173" spans="1:25" x14ac:dyDescent="0.25">
      <c r="A173" s="20" t="s">
        <v>643</v>
      </c>
      <c r="B173" s="5" t="s">
        <v>1834</v>
      </c>
      <c r="C173" s="5" t="s">
        <v>1835</v>
      </c>
      <c r="D173" s="5"/>
      <c r="E173" s="5"/>
      <c r="F173" s="5"/>
      <c r="G173" s="5">
        <v>1695.6721049600001</v>
      </c>
      <c r="H173" s="5">
        <v>154.066606780136</v>
      </c>
      <c r="I173" s="19">
        <f>VLOOKUP("Couche de base",'Taux unitaires'!$B$9:$C$11,2,FALSE)</f>
        <v>200</v>
      </c>
      <c r="J173" s="19">
        <f>VLOOKUP("Revêtement de route",'Taux unitaires'!$B$9:$C$11,2,FALSE)</f>
        <v>101</v>
      </c>
      <c r="K173" s="19">
        <f t="shared" si="22"/>
        <v>339134.42099200003</v>
      </c>
      <c r="L173" s="19">
        <f t="shared" si="23"/>
        <v>171262.88260096</v>
      </c>
      <c r="M173" s="19">
        <f t="shared" si="24"/>
        <v>342525.76520192</v>
      </c>
      <c r="N173" s="19">
        <f t="shared" si="25"/>
        <v>681660.18619391997</v>
      </c>
      <c r="O173" s="5">
        <f>VLOOKUP(C173,'Durée de vie utile'!$B$15:$E$18,4,FALSE)</f>
        <v>125</v>
      </c>
      <c r="P173" s="5">
        <f>VLOOKUP(C173,'Durée de vie utile'!$B$15:$E$18,3,FALSE)</f>
        <v>100</v>
      </c>
      <c r="Q173" s="5">
        <f>VLOOKUP(C173,'Durée de vie utile'!$B$26:$E$29,4,FALSE)</f>
        <v>50</v>
      </c>
      <c r="R173" s="5">
        <f>VLOOKUP(C173,'Durée de vie utile'!$B$26:$E$29,3,FALSE)</f>
        <v>30</v>
      </c>
      <c r="S173" s="6">
        <f t="shared" si="26"/>
        <v>6816.6018619391998</v>
      </c>
      <c r="T173" s="6">
        <f>(N173/(1+'Autres hypothèses'!$D$5))*('Autres hypothèses'!$D$5/(((1+'Autres hypothèses'!$D$5)^Routes!P173-1)))</f>
        <v>3958.8550010093068</v>
      </c>
      <c r="U173" s="5">
        <v>1993</v>
      </c>
      <c r="V173" s="5">
        <f t="shared" si="18"/>
        <v>29</v>
      </c>
      <c r="W173" s="1">
        <f t="shared" si="19"/>
        <v>0.28999999999999998</v>
      </c>
      <c r="X173" s="3">
        <f t="shared" si="20"/>
        <v>57.999999999999993</v>
      </c>
      <c r="Y173" s="3">
        <f t="shared" si="21"/>
        <v>142</v>
      </c>
    </row>
    <row r="174" spans="1:25" x14ac:dyDescent="0.25">
      <c r="A174" s="20" t="s">
        <v>644</v>
      </c>
      <c r="B174" s="5" t="s">
        <v>1836</v>
      </c>
      <c r="C174" s="5" t="s">
        <v>1837</v>
      </c>
      <c r="D174" s="5"/>
      <c r="E174" s="5"/>
      <c r="F174" s="5"/>
      <c r="G174" s="5">
        <v>989.24497516999895</v>
      </c>
      <c r="H174" s="5">
        <v>77.255321863206703</v>
      </c>
      <c r="I174" s="19">
        <f>VLOOKUP("Couche de base",'Taux unitaires'!$B$9:$C$11,2,FALSE)</f>
        <v>200</v>
      </c>
      <c r="J174" s="19">
        <f>VLOOKUP("Revêtement de route",'Taux unitaires'!$B$9:$C$11,2,FALSE)</f>
        <v>101</v>
      </c>
      <c r="K174" s="19">
        <f t="shared" si="22"/>
        <v>197848.99503399979</v>
      </c>
      <c r="L174" s="19">
        <f t="shared" si="23"/>
        <v>99913.742492169898</v>
      </c>
      <c r="M174" s="19">
        <f t="shared" si="24"/>
        <v>199827.4849843398</v>
      </c>
      <c r="N174" s="19">
        <f t="shared" si="25"/>
        <v>397676.48001833959</v>
      </c>
      <c r="O174" s="5">
        <f>VLOOKUP(C174,'Durée de vie utile'!$B$15:$E$18,4,FALSE)</f>
        <v>125</v>
      </c>
      <c r="P174" s="5">
        <f>VLOOKUP(C174,'Durée de vie utile'!$B$15:$E$18,3,FALSE)</f>
        <v>100</v>
      </c>
      <c r="Q174" s="5">
        <f>VLOOKUP(C174,'Durée de vie utile'!$B$26:$E$29,4,FALSE)</f>
        <v>50</v>
      </c>
      <c r="R174" s="5">
        <f>VLOOKUP(C174,'Durée de vie utile'!$B$26:$E$29,3,FALSE)</f>
        <v>30</v>
      </c>
      <c r="S174" s="6">
        <f t="shared" si="26"/>
        <v>3976.7648001833959</v>
      </c>
      <c r="T174" s="6">
        <f>(N174/(1+'Autres hypothèses'!$D$5))*('Autres hypothèses'!$D$5/(((1+'Autres hypothèses'!$D$5)^Routes!P174-1)))</f>
        <v>2309.5723552446248</v>
      </c>
      <c r="U174" s="5">
        <v>1993</v>
      </c>
      <c r="V174" s="5">
        <f t="shared" si="18"/>
        <v>29</v>
      </c>
      <c r="W174" s="1">
        <f t="shared" si="19"/>
        <v>0.28999999999999998</v>
      </c>
      <c r="X174" s="3">
        <f t="shared" si="20"/>
        <v>57.999999999999993</v>
      </c>
      <c r="Y174" s="3">
        <f t="shared" si="21"/>
        <v>142</v>
      </c>
    </row>
    <row r="175" spans="1:25" x14ac:dyDescent="0.25">
      <c r="A175" s="20" t="s">
        <v>645</v>
      </c>
      <c r="B175" s="5" t="s">
        <v>1838</v>
      </c>
      <c r="C175" s="5" t="s">
        <v>1839</v>
      </c>
      <c r="D175" s="5"/>
      <c r="E175" s="5"/>
      <c r="F175" s="5"/>
      <c r="G175" s="5">
        <v>4593.0936523399896</v>
      </c>
      <c r="H175" s="5">
        <v>425.57477896222503</v>
      </c>
      <c r="I175" s="19">
        <f>VLOOKUP("Couche de base",'Taux unitaires'!$B$9:$C$11,2,FALSE)</f>
        <v>200</v>
      </c>
      <c r="J175" s="19">
        <f>VLOOKUP("Revêtement de route",'Taux unitaires'!$B$9:$C$11,2,FALSE)</f>
        <v>101</v>
      </c>
      <c r="K175" s="19">
        <f t="shared" si="22"/>
        <v>918618.73046799796</v>
      </c>
      <c r="L175" s="19">
        <f t="shared" si="23"/>
        <v>463902.45888633892</v>
      </c>
      <c r="M175" s="19">
        <f t="shared" si="24"/>
        <v>927804.91777267784</v>
      </c>
      <c r="N175" s="19">
        <f t="shared" si="25"/>
        <v>1846423.6482406757</v>
      </c>
      <c r="O175" s="5">
        <f>VLOOKUP(C175,'Durée de vie utile'!$B$15:$E$18,4,FALSE)</f>
        <v>100</v>
      </c>
      <c r="P175" s="5">
        <f>VLOOKUP(C175,'Durée de vie utile'!$B$15:$E$18,3,FALSE)</f>
        <v>80</v>
      </c>
      <c r="Q175" s="5">
        <f>VLOOKUP(C175,'Durée de vie utile'!$B$26:$E$29,4,FALSE)</f>
        <v>40</v>
      </c>
      <c r="R175" s="5">
        <f>VLOOKUP(C175,'Durée de vie utile'!$B$26:$E$29,3,FALSE)</f>
        <v>25</v>
      </c>
      <c r="S175" s="6">
        <f t="shared" si="26"/>
        <v>23080.295603008446</v>
      </c>
      <c r="T175" s="6">
        <f>(N175/(1+'Autres hypothèses'!$D$5))*('Autres hypothèses'!$D$5/(((1+'Autres hypothèses'!$D$5)^Routes!P175-1)))</f>
        <v>15025.226940093318</v>
      </c>
      <c r="U175" s="5">
        <v>1993</v>
      </c>
      <c r="V175" s="5">
        <f t="shared" si="18"/>
        <v>29</v>
      </c>
      <c r="W175" s="1">
        <f t="shared" si="19"/>
        <v>0.36249999999999999</v>
      </c>
      <c r="X175" s="3">
        <f t="shared" si="20"/>
        <v>72.5</v>
      </c>
      <c r="Y175" s="3">
        <f t="shared" si="21"/>
        <v>127.5</v>
      </c>
    </row>
    <row r="176" spans="1:25" x14ac:dyDescent="0.25">
      <c r="A176" s="20" t="s">
        <v>646</v>
      </c>
      <c r="B176" s="5" t="s">
        <v>1840</v>
      </c>
      <c r="C176" s="5" t="s">
        <v>1841</v>
      </c>
      <c r="D176" s="5"/>
      <c r="E176" s="5"/>
      <c r="F176" s="5"/>
      <c r="G176" s="5">
        <v>911.4</v>
      </c>
      <c r="H176" s="5">
        <v>86.9</v>
      </c>
      <c r="I176" s="19">
        <f>VLOOKUP("Couche de base",'Taux unitaires'!$B$9:$C$11,2,FALSE)</f>
        <v>200</v>
      </c>
      <c r="J176" s="19">
        <f>VLOOKUP("Revêtement de route",'Taux unitaires'!$B$9:$C$11,2,FALSE)</f>
        <v>101</v>
      </c>
      <c r="K176" s="19">
        <f t="shared" si="22"/>
        <v>182280</v>
      </c>
      <c r="L176" s="19">
        <f t="shared" si="23"/>
        <v>92051.4</v>
      </c>
      <c r="M176" s="19">
        <f t="shared" si="24"/>
        <v>184102.8</v>
      </c>
      <c r="N176" s="19">
        <f t="shared" si="25"/>
        <v>366382.8</v>
      </c>
      <c r="O176" s="5">
        <f>VLOOKUP(C176,'Durée de vie utile'!$B$15:$E$18,4,FALSE)</f>
        <v>125</v>
      </c>
      <c r="P176" s="5">
        <f>VLOOKUP(C176,'Durée de vie utile'!$B$15:$E$18,3,FALSE)</f>
        <v>100</v>
      </c>
      <c r="Q176" s="5">
        <f>VLOOKUP(C176,'Durée de vie utile'!$B$26:$E$29,4,FALSE)</f>
        <v>50</v>
      </c>
      <c r="R176" s="5">
        <f>VLOOKUP(C176,'Durée de vie utile'!$B$26:$E$29,3,FALSE)</f>
        <v>30</v>
      </c>
      <c r="S176" s="6">
        <f t="shared" si="26"/>
        <v>3663.828</v>
      </c>
      <c r="T176" s="6">
        <f>(N176/(1+'Autres hypothèses'!$D$5))*('Autres hypothèses'!$D$5/(((1+'Autres hypothèses'!$D$5)^Routes!P176-1)))</f>
        <v>2127.8290993676492</v>
      </c>
      <c r="U176" s="5">
        <v>1993</v>
      </c>
      <c r="V176" s="5">
        <f t="shared" si="18"/>
        <v>29</v>
      </c>
      <c r="W176" s="1">
        <f t="shared" si="19"/>
        <v>0.28999999999999998</v>
      </c>
      <c r="X176" s="3">
        <f t="shared" si="20"/>
        <v>57.999999999999993</v>
      </c>
      <c r="Y176" s="3">
        <f t="shared" si="21"/>
        <v>142</v>
      </c>
    </row>
    <row r="177" spans="1:25" x14ac:dyDescent="0.25">
      <c r="A177" s="20" t="s">
        <v>647</v>
      </c>
      <c r="B177" s="5" t="s">
        <v>1842</v>
      </c>
      <c r="C177" s="5" t="s">
        <v>1843</v>
      </c>
      <c r="D177" s="5"/>
      <c r="E177" s="5"/>
      <c r="F177" s="5"/>
      <c r="G177" s="5">
        <v>799.27431511999896</v>
      </c>
      <c r="H177" s="5">
        <v>96.383079139648103</v>
      </c>
      <c r="I177" s="19">
        <f>VLOOKUP("Couche de base",'Taux unitaires'!$B$9:$C$11,2,FALSE)</f>
        <v>200</v>
      </c>
      <c r="J177" s="19">
        <f>VLOOKUP("Revêtement de route",'Taux unitaires'!$B$9:$C$11,2,FALSE)</f>
        <v>101</v>
      </c>
      <c r="K177" s="19">
        <f t="shared" si="22"/>
        <v>159854.86302399979</v>
      </c>
      <c r="L177" s="19">
        <f t="shared" si="23"/>
        <v>80726.705827119891</v>
      </c>
      <c r="M177" s="19">
        <f t="shared" si="24"/>
        <v>161453.41165423978</v>
      </c>
      <c r="N177" s="19">
        <f t="shared" si="25"/>
        <v>321308.2746782396</v>
      </c>
      <c r="O177" s="5">
        <f>VLOOKUP(C177,'Durée de vie utile'!$B$15:$E$18,4,FALSE)</f>
        <v>125</v>
      </c>
      <c r="P177" s="5">
        <f>VLOOKUP(C177,'Durée de vie utile'!$B$15:$E$18,3,FALSE)</f>
        <v>100</v>
      </c>
      <c r="Q177" s="5">
        <f>VLOOKUP(C177,'Durée de vie utile'!$B$26:$E$29,4,FALSE)</f>
        <v>50</v>
      </c>
      <c r="R177" s="5">
        <f>VLOOKUP(C177,'Durée de vie utile'!$B$26:$E$29,3,FALSE)</f>
        <v>30</v>
      </c>
      <c r="S177" s="6">
        <f t="shared" si="26"/>
        <v>3213.082746782396</v>
      </c>
      <c r="T177" s="6">
        <f>(N177/(1+'Autres hypothèses'!$D$5))*('Autres hypothèses'!$D$5/(((1+'Autres hypothèses'!$D$5)^Routes!P177-1)))</f>
        <v>1866.0512904207612</v>
      </c>
      <c r="U177" s="5">
        <v>1993</v>
      </c>
      <c r="V177" s="5">
        <f t="shared" si="18"/>
        <v>29</v>
      </c>
      <c r="W177" s="1">
        <f t="shared" si="19"/>
        <v>0.28999999999999998</v>
      </c>
      <c r="X177" s="3">
        <f t="shared" si="20"/>
        <v>57.999999999999993</v>
      </c>
      <c r="Y177" s="3">
        <f t="shared" si="21"/>
        <v>142</v>
      </c>
    </row>
    <row r="178" spans="1:25" x14ac:dyDescent="0.25">
      <c r="A178" s="20" t="s">
        <v>648</v>
      </c>
      <c r="B178" s="5" t="s">
        <v>1844</v>
      </c>
      <c r="C178" s="5" t="s">
        <v>1845</v>
      </c>
      <c r="D178" s="5"/>
      <c r="E178" s="5"/>
      <c r="F178" s="5"/>
      <c r="G178" s="5">
        <v>2387.4341471500002</v>
      </c>
      <c r="H178" s="5">
        <v>211.07234508055001</v>
      </c>
      <c r="I178" s="19">
        <f>VLOOKUP("Couche de base",'Taux unitaires'!$B$9:$C$11,2,FALSE)</f>
        <v>200</v>
      </c>
      <c r="J178" s="19">
        <f>VLOOKUP("Revêtement de route",'Taux unitaires'!$B$9:$C$11,2,FALSE)</f>
        <v>101</v>
      </c>
      <c r="K178" s="19">
        <f t="shared" si="22"/>
        <v>477486.82943000004</v>
      </c>
      <c r="L178" s="19">
        <f t="shared" si="23"/>
        <v>241130.84886215001</v>
      </c>
      <c r="M178" s="19">
        <f t="shared" si="24"/>
        <v>482261.69772430003</v>
      </c>
      <c r="N178" s="19">
        <f t="shared" si="25"/>
        <v>959748.52715430013</v>
      </c>
      <c r="O178" s="5">
        <f>VLOOKUP(C178,'Durée de vie utile'!$B$15:$E$18,4,FALSE)</f>
        <v>125</v>
      </c>
      <c r="P178" s="5">
        <f>VLOOKUP(C178,'Durée de vie utile'!$B$15:$E$18,3,FALSE)</f>
        <v>100</v>
      </c>
      <c r="Q178" s="5">
        <f>VLOOKUP(C178,'Durée de vie utile'!$B$26:$E$29,4,FALSE)</f>
        <v>50</v>
      </c>
      <c r="R178" s="5">
        <f>VLOOKUP(C178,'Durée de vie utile'!$B$26:$E$29,3,FALSE)</f>
        <v>30</v>
      </c>
      <c r="S178" s="6">
        <f t="shared" si="26"/>
        <v>9597.4852715430006</v>
      </c>
      <c r="T178" s="6">
        <f>(N178/(1+'Autres hypothèses'!$D$5))*('Autres hypothèses'!$D$5/(((1+'Autres hypothèses'!$D$5)^Routes!P178-1)))</f>
        <v>5573.8993319396059</v>
      </c>
      <c r="U178" s="5">
        <v>1994</v>
      </c>
      <c r="V178" s="5">
        <f t="shared" si="18"/>
        <v>28</v>
      </c>
      <c r="W178" s="1">
        <f t="shared" si="19"/>
        <v>0.28000000000000003</v>
      </c>
      <c r="X178" s="3">
        <f t="shared" si="20"/>
        <v>56.000000000000007</v>
      </c>
      <c r="Y178" s="3">
        <f t="shared" si="21"/>
        <v>144</v>
      </c>
    </row>
    <row r="179" spans="1:25" x14ac:dyDescent="0.25">
      <c r="A179" s="20" t="s">
        <v>649</v>
      </c>
      <c r="B179" s="5" t="s">
        <v>1846</v>
      </c>
      <c r="C179" s="5" t="s">
        <v>1847</v>
      </c>
      <c r="D179" s="5"/>
      <c r="E179" s="5"/>
      <c r="F179" s="5"/>
      <c r="G179" s="5">
        <v>973.54146505999904</v>
      </c>
      <c r="H179" s="5">
        <v>108.244610340191</v>
      </c>
      <c r="I179" s="19">
        <f>VLOOKUP("Couche de base",'Taux unitaires'!$B$9:$C$11,2,FALSE)</f>
        <v>200</v>
      </c>
      <c r="J179" s="19">
        <f>VLOOKUP("Revêtement de route",'Taux unitaires'!$B$9:$C$11,2,FALSE)</f>
        <v>101</v>
      </c>
      <c r="K179" s="19">
        <f t="shared" si="22"/>
        <v>194708.29301199981</v>
      </c>
      <c r="L179" s="19">
        <f t="shared" si="23"/>
        <v>98327.687971059902</v>
      </c>
      <c r="M179" s="19">
        <f t="shared" si="24"/>
        <v>196655.3759421198</v>
      </c>
      <c r="N179" s="19">
        <f t="shared" si="25"/>
        <v>391363.66895411961</v>
      </c>
      <c r="O179" s="5">
        <f>VLOOKUP(C179,'Durée de vie utile'!$B$15:$E$18,4,FALSE)</f>
        <v>100</v>
      </c>
      <c r="P179" s="5">
        <f>VLOOKUP(C179,'Durée de vie utile'!$B$15:$E$18,3,FALSE)</f>
        <v>80</v>
      </c>
      <c r="Q179" s="5">
        <f>VLOOKUP(C179,'Durée de vie utile'!$B$26:$E$29,4,FALSE)</f>
        <v>40</v>
      </c>
      <c r="R179" s="5">
        <f>VLOOKUP(C179,'Durée de vie utile'!$B$26:$E$29,3,FALSE)</f>
        <v>25</v>
      </c>
      <c r="S179" s="6">
        <f t="shared" si="26"/>
        <v>4892.0458619264955</v>
      </c>
      <c r="T179" s="6">
        <f>(N179/(1+'Autres hypothèses'!$D$5))*('Autres hypothèses'!$D$5/(((1+'Autres hypothèses'!$D$5)^Routes!P179-1)))</f>
        <v>3184.712212577077</v>
      </c>
      <c r="U179" s="5">
        <v>1994</v>
      </c>
      <c r="V179" s="5">
        <f t="shared" si="18"/>
        <v>28</v>
      </c>
      <c r="W179" s="1">
        <f t="shared" si="19"/>
        <v>0.35</v>
      </c>
      <c r="X179" s="3">
        <f t="shared" si="20"/>
        <v>70</v>
      </c>
      <c r="Y179" s="3">
        <f t="shared" si="21"/>
        <v>130</v>
      </c>
    </row>
    <row r="180" spans="1:25" x14ac:dyDescent="0.25">
      <c r="A180" s="20" t="s">
        <v>650</v>
      </c>
      <c r="B180" s="5" t="s">
        <v>1848</v>
      </c>
      <c r="C180" s="5" t="s">
        <v>1849</v>
      </c>
      <c r="D180" s="5"/>
      <c r="E180" s="5"/>
      <c r="F180" s="5"/>
      <c r="G180" s="5">
        <v>2490.07987077999</v>
      </c>
      <c r="H180" s="5">
        <v>226.37089734356701</v>
      </c>
      <c r="I180" s="19">
        <f>VLOOKUP("Couche de base",'Taux unitaires'!$B$9:$C$11,2,FALSE)</f>
        <v>200</v>
      </c>
      <c r="J180" s="19">
        <f>VLOOKUP("Revêtement de route",'Taux unitaires'!$B$9:$C$11,2,FALSE)</f>
        <v>101</v>
      </c>
      <c r="K180" s="19">
        <f t="shared" si="22"/>
        <v>498015.97415599797</v>
      </c>
      <c r="L180" s="19">
        <f t="shared" si="23"/>
        <v>251498.06694877899</v>
      </c>
      <c r="M180" s="19">
        <f t="shared" si="24"/>
        <v>502996.13389755797</v>
      </c>
      <c r="N180" s="19">
        <f t="shared" si="25"/>
        <v>1001012.1080535559</v>
      </c>
      <c r="O180" s="5">
        <f>VLOOKUP(C180,'Durée de vie utile'!$B$15:$E$18,4,FALSE)</f>
        <v>125</v>
      </c>
      <c r="P180" s="5">
        <f>VLOOKUP(C180,'Durée de vie utile'!$B$15:$E$18,3,FALSE)</f>
        <v>100</v>
      </c>
      <c r="Q180" s="5">
        <f>VLOOKUP(C180,'Durée de vie utile'!$B$26:$E$29,4,FALSE)</f>
        <v>50</v>
      </c>
      <c r="R180" s="5">
        <f>VLOOKUP(C180,'Durée de vie utile'!$B$26:$E$29,3,FALSE)</f>
        <v>30</v>
      </c>
      <c r="S180" s="6">
        <f t="shared" si="26"/>
        <v>10010.121080535559</v>
      </c>
      <c r="T180" s="6">
        <f>(N180/(1+'Autres hypothèses'!$D$5))*('Autres hypothèses'!$D$5/(((1+'Autres hypothèses'!$D$5)^Routes!P180-1)))</f>
        <v>5813.5444467800062</v>
      </c>
      <c r="U180" s="5">
        <v>1994</v>
      </c>
      <c r="V180" s="5">
        <f t="shared" si="18"/>
        <v>28</v>
      </c>
      <c r="W180" s="1">
        <f t="shared" si="19"/>
        <v>0.28000000000000003</v>
      </c>
      <c r="X180" s="3">
        <f t="shared" si="20"/>
        <v>56.000000000000007</v>
      </c>
      <c r="Y180" s="3">
        <f t="shared" si="21"/>
        <v>144</v>
      </c>
    </row>
    <row r="181" spans="1:25" x14ac:dyDescent="0.25">
      <c r="A181" s="20" t="s">
        <v>651</v>
      </c>
      <c r="B181" s="5" t="s">
        <v>1850</v>
      </c>
      <c r="C181" s="5" t="s">
        <v>1851</v>
      </c>
      <c r="D181" s="5"/>
      <c r="E181" s="5"/>
      <c r="F181" s="5"/>
      <c r="G181" s="5">
        <v>597.90211527999895</v>
      </c>
      <c r="H181" s="5">
        <v>54.324624329534501</v>
      </c>
      <c r="I181" s="19">
        <f>VLOOKUP("Couche de base",'Taux unitaires'!$B$9:$C$11,2,FALSE)</f>
        <v>200</v>
      </c>
      <c r="J181" s="19">
        <f>VLOOKUP("Revêtement de route",'Taux unitaires'!$B$9:$C$11,2,FALSE)</f>
        <v>101</v>
      </c>
      <c r="K181" s="19">
        <f t="shared" si="22"/>
        <v>119580.4230559998</v>
      </c>
      <c r="L181" s="19">
        <f t="shared" si="23"/>
        <v>60388.113643279896</v>
      </c>
      <c r="M181" s="19">
        <f t="shared" si="24"/>
        <v>120776.22728655979</v>
      </c>
      <c r="N181" s="19">
        <f t="shared" si="25"/>
        <v>240356.65034255959</v>
      </c>
      <c r="O181" s="5">
        <f>VLOOKUP(C181,'Durée de vie utile'!$B$15:$E$18,4,FALSE)</f>
        <v>125</v>
      </c>
      <c r="P181" s="5">
        <f>VLOOKUP(C181,'Durée de vie utile'!$B$15:$E$18,3,FALSE)</f>
        <v>100</v>
      </c>
      <c r="Q181" s="5">
        <f>VLOOKUP(C181,'Durée de vie utile'!$B$26:$E$29,4,FALSE)</f>
        <v>50</v>
      </c>
      <c r="R181" s="5">
        <f>VLOOKUP(C181,'Durée de vie utile'!$B$26:$E$29,3,FALSE)</f>
        <v>30</v>
      </c>
      <c r="S181" s="6">
        <f t="shared" si="26"/>
        <v>2403.5665034255958</v>
      </c>
      <c r="T181" s="6">
        <f>(N181/(1+'Autres hypothèses'!$D$5))*('Autres hypothèses'!$D$5/(((1+'Autres hypothèses'!$D$5)^Routes!P181-1)))</f>
        <v>1395.9112568205535</v>
      </c>
      <c r="U181" s="5">
        <v>1994</v>
      </c>
      <c r="V181" s="5">
        <f t="shared" si="18"/>
        <v>28</v>
      </c>
      <c r="W181" s="1">
        <f t="shared" si="19"/>
        <v>0.28000000000000003</v>
      </c>
      <c r="X181" s="3">
        <f t="shared" si="20"/>
        <v>56.000000000000007</v>
      </c>
      <c r="Y181" s="3">
        <f t="shared" si="21"/>
        <v>144</v>
      </c>
    </row>
    <row r="182" spans="1:25" x14ac:dyDescent="0.25">
      <c r="A182" s="20" t="s">
        <v>652</v>
      </c>
      <c r="B182" s="5" t="s">
        <v>1852</v>
      </c>
      <c r="C182" s="5" t="s">
        <v>1853</v>
      </c>
      <c r="D182" s="5"/>
      <c r="E182" s="5"/>
      <c r="F182" s="5"/>
      <c r="G182" s="5">
        <v>1241.5999999999999</v>
      </c>
      <c r="H182" s="5">
        <v>90.7</v>
      </c>
      <c r="I182" s="19">
        <f>VLOOKUP("Couche de base",'Taux unitaires'!$B$9:$C$11,2,FALSE)</f>
        <v>200</v>
      </c>
      <c r="J182" s="19">
        <f>VLOOKUP("Revêtement de route",'Taux unitaires'!$B$9:$C$11,2,FALSE)</f>
        <v>101</v>
      </c>
      <c r="K182" s="19">
        <f t="shared" si="22"/>
        <v>248319.99999999997</v>
      </c>
      <c r="L182" s="19">
        <f t="shared" si="23"/>
        <v>125401.59999999999</v>
      </c>
      <c r="M182" s="19">
        <f t="shared" si="24"/>
        <v>250803.19999999998</v>
      </c>
      <c r="N182" s="19">
        <f t="shared" si="25"/>
        <v>499123.19999999995</v>
      </c>
      <c r="O182" s="5">
        <f>VLOOKUP(C182,'Durée de vie utile'!$B$15:$E$18,4,FALSE)</f>
        <v>125</v>
      </c>
      <c r="P182" s="5">
        <f>VLOOKUP(C182,'Durée de vie utile'!$B$15:$E$18,3,FALSE)</f>
        <v>100</v>
      </c>
      <c r="Q182" s="5">
        <f>VLOOKUP(C182,'Durée de vie utile'!$B$26:$E$29,4,FALSE)</f>
        <v>50</v>
      </c>
      <c r="R182" s="5">
        <f>VLOOKUP(C182,'Durée de vie utile'!$B$26:$E$29,3,FALSE)</f>
        <v>30</v>
      </c>
      <c r="S182" s="6">
        <f t="shared" si="26"/>
        <v>4991.232</v>
      </c>
      <c r="T182" s="6">
        <f>(N182/(1+'Autres hypothèses'!$D$5))*('Autres hypothèses'!$D$5/(((1+'Autres hypothèses'!$D$5)^Routes!P182-1)))</f>
        <v>2898.7410684385263</v>
      </c>
      <c r="U182" s="5">
        <v>1996</v>
      </c>
      <c r="V182" s="5">
        <f t="shared" si="18"/>
        <v>26</v>
      </c>
      <c r="W182" s="1">
        <f t="shared" si="19"/>
        <v>0.26</v>
      </c>
      <c r="X182" s="3">
        <f t="shared" si="20"/>
        <v>52</v>
      </c>
      <c r="Y182" s="3">
        <f t="shared" si="21"/>
        <v>148</v>
      </c>
    </row>
    <row r="183" spans="1:25" x14ac:dyDescent="0.25">
      <c r="A183" s="20" t="s">
        <v>653</v>
      </c>
      <c r="B183" s="5" t="s">
        <v>1854</v>
      </c>
      <c r="C183" s="5" t="s">
        <v>1855</v>
      </c>
      <c r="D183" s="5"/>
      <c r="E183" s="5"/>
      <c r="F183" s="5"/>
      <c r="G183" s="5">
        <v>1956.90704828</v>
      </c>
      <c r="H183" s="5">
        <v>177.90064075262501</v>
      </c>
      <c r="I183" s="19">
        <f>VLOOKUP("Couche de base",'Taux unitaires'!$B$9:$C$11,2,FALSE)</f>
        <v>200</v>
      </c>
      <c r="J183" s="19">
        <f>VLOOKUP("Revêtement de route",'Taux unitaires'!$B$9:$C$11,2,FALSE)</f>
        <v>101</v>
      </c>
      <c r="K183" s="19">
        <f t="shared" si="22"/>
        <v>391381.40965600003</v>
      </c>
      <c r="L183" s="19">
        <f t="shared" si="23"/>
        <v>197647.61187627999</v>
      </c>
      <c r="M183" s="19">
        <f t="shared" si="24"/>
        <v>395295.22375255998</v>
      </c>
      <c r="N183" s="19">
        <f t="shared" si="25"/>
        <v>786676.63340855995</v>
      </c>
      <c r="O183" s="5">
        <f>VLOOKUP(C183,'Durée de vie utile'!$B$15:$E$18,4,FALSE)</f>
        <v>125</v>
      </c>
      <c r="P183" s="5">
        <f>VLOOKUP(C183,'Durée de vie utile'!$B$15:$E$18,3,FALSE)</f>
        <v>100</v>
      </c>
      <c r="Q183" s="5">
        <f>VLOOKUP(C183,'Durée de vie utile'!$B$26:$E$29,4,FALSE)</f>
        <v>50</v>
      </c>
      <c r="R183" s="5">
        <f>VLOOKUP(C183,'Durée de vie utile'!$B$26:$E$29,3,FALSE)</f>
        <v>30</v>
      </c>
      <c r="S183" s="6">
        <f t="shared" si="26"/>
        <v>7866.7663340855997</v>
      </c>
      <c r="T183" s="6">
        <f>(N183/(1+'Autres hypothèses'!$D$5))*('Autres hypothèses'!$D$5/(((1+'Autres hypothèses'!$D$5)^Routes!P183-1)))</f>
        <v>4568.7554993283266</v>
      </c>
      <c r="U183" s="5">
        <v>1996</v>
      </c>
      <c r="V183" s="5">
        <f t="shared" si="18"/>
        <v>26</v>
      </c>
      <c r="W183" s="1">
        <f t="shared" si="19"/>
        <v>0.26</v>
      </c>
      <c r="X183" s="3">
        <f t="shared" si="20"/>
        <v>52</v>
      </c>
      <c r="Y183" s="3">
        <f t="shared" si="21"/>
        <v>148</v>
      </c>
    </row>
    <row r="184" spans="1:25" x14ac:dyDescent="0.25">
      <c r="A184" s="20" t="s">
        <v>654</v>
      </c>
      <c r="B184" s="5" t="s">
        <v>1856</v>
      </c>
      <c r="C184" s="5" t="s">
        <v>1857</v>
      </c>
      <c r="D184" s="5"/>
      <c r="E184" s="5"/>
      <c r="F184" s="5"/>
      <c r="G184" s="5">
        <v>931.47395409000001</v>
      </c>
      <c r="H184" s="5">
        <v>95.476080303536804</v>
      </c>
      <c r="I184" s="19">
        <f>VLOOKUP("Couche de base",'Taux unitaires'!$B$9:$C$11,2,FALSE)</f>
        <v>200</v>
      </c>
      <c r="J184" s="19">
        <f>VLOOKUP("Revêtement de route",'Taux unitaires'!$B$9:$C$11,2,FALSE)</f>
        <v>101</v>
      </c>
      <c r="K184" s="19">
        <f t="shared" si="22"/>
        <v>186294.79081800001</v>
      </c>
      <c r="L184" s="19">
        <f t="shared" si="23"/>
        <v>94078.869363089994</v>
      </c>
      <c r="M184" s="19">
        <f t="shared" si="24"/>
        <v>188157.73872617999</v>
      </c>
      <c r="N184" s="19">
        <f t="shared" si="25"/>
        <v>374452.52954418003</v>
      </c>
      <c r="O184" s="5">
        <f>VLOOKUP(C184,'Durée de vie utile'!$B$15:$E$18,4,FALSE)</f>
        <v>125</v>
      </c>
      <c r="P184" s="5">
        <f>VLOOKUP(C184,'Durée de vie utile'!$B$15:$E$18,3,FALSE)</f>
        <v>100</v>
      </c>
      <c r="Q184" s="5">
        <f>VLOOKUP(C184,'Durée de vie utile'!$B$26:$E$29,4,FALSE)</f>
        <v>50</v>
      </c>
      <c r="R184" s="5">
        <f>VLOOKUP(C184,'Durée de vie utile'!$B$26:$E$29,3,FALSE)</f>
        <v>30</v>
      </c>
      <c r="S184" s="6">
        <f t="shared" si="26"/>
        <v>3744.5252954418002</v>
      </c>
      <c r="T184" s="6">
        <f>(N184/(1+'Autres hypothèses'!$D$5))*('Autres hypothèses'!$D$5/(((1+'Autres hypothèses'!$D$5)^Routes!P184-1)))</f>
        <v>2174.6953969889705</v>
      </c>
      <c r="U184" s="5">
        <v>1995</v>
      </c>
      <c r="V184" s="5">
        <f t="shared" si="18"/>
        <v>27</v>
      </c>
      <c r="W184" s="1">
        <f t="shared" si="19"/>
        <v>0.27</v>
      </c>
      <c r="X184" s="3">
        <f t="shared" si="20"/>
        <v>54</v>
      </c>
      <c r="Y184" s="3">
        <f t="shared" si="21"/>
        <v>146</v>
      </c>
    </row>
    <row r="185" spans="1:25" x14ac:dyDescent="0.25">
      <c r="A185" s="20" t="s">
        <v>655</v>
      </c>
      <c r="B185" s="5" t="s">
        <v>1858</v>
      </c>
      <c r="C185" s="5" t="s">
        <v>1859</v>
      </c>
      <c r="D185" s="5"/>
      <c r="E185" s="5"/>
      <c r="F185" s="5"/>
      <c r="G185" s="5">
        <v>1839.6366694200001</v>
      </c>
      <c r="H185" s="5">
        <v>153.14741819012301</v>
      </c>
      <c r="I185" s="19">
        <f>VLOOKUP("Couche de base",'Taux unitaires'!$B$9:$C$11,2,FALSE)</f>
        <v>200</v>
      </c>
      <c r="J185" s="19">
        <f>VLOOKUP("Revêtement de route",'Taux unitaires'!$B$9:$C$11,2,FALSE)</f>
        <v>101</v>
      </c>
      <c r="K185" s="19">
        <f t="shared" si="22"/>
        <v>367927.33388400002</v>
      </c>
      <c r="L185" s="19">
        <f t="shared" si="23"/>
        <v>185803.30361142001</v>
      </c>
      <c r="M185" s="19">
        <f t="shared" si="24"/>
        <v>371606.60722284002</v>
      </c>
      <c r="N185" s="19">
        <f t="shared" si="25"/>
        <v>739533.94110684004</v>
      </c>
      <c r="O185" s="5">
        <f>VLOOKUP(C185,'Durée de vie utile'!$B$15:$E$18,4,FALSE)</f>
        <v>125</v>
      </c>
      <c r="P185" s="5">
        <f>VLOOKUP(C185,'Durée de vie utile'!$B$15:$E$18,3,FALSE)</f>
        <v>100</v>
      </c>
      <c r="Q185" s="5">
        <f>VLOOKUP(C185,'Durée de vie utile'!$B$26:$E$29,4,FALSE)</f>
        <v>50</v>
      </c>
      <c r="R185" s="5">
        <f>VLOOKUP(C185,'Durée de vie utile'!$B$26:$E$29,3,FALSE)</f>
        <v>30</v>
      </c>
      <c r="S185" s="6">
        <f t="shared" si="26"/>
        <v>7395.3394110684003</v>
      </c>
      <c r="T185" s="6">
        <f>(N185/(1+'Autres hypothèses'!$D$5))*('Autres hypothèses'!$D$5/(((1+'Autres hypothèses'!$D$5)^Routes!P185-1)))</f>
        <v>4294.9664663766298</v>
      </c>
      <c r="U185" s="5">
        <v>1995</v>
      </c>
      <c r="V185" s="5">
        <f t="shared" si="18"/>
        <v>27</v>
      </c>
      <c r="W185" s="1">
        <f t="shared" si="19"/>
        <v>0.27</v>
      </c>
      <c r="X185" s="3">
        <f t="shared" si="20"/>
        <v>54</v>
      </c>
      <c r="Y185" s="3">
        <f t="shared" si="21"/>
        <v>146</v>
      </c>
    </row>
    <row r="186" spans="1:25" x14ac:dyDescent="0.25">
      <c r="A186" s="20" t="s">
        <v>656</v>
      </c>
      <c r="B186" s="5" t="s">
        <v>1860</v>
      </c>
      <c r="C186" s="5" t="s">
        <v>1861</v>
      </c>
      <c r="D186" s="5"/>
      <c r="E186" s="5"/>
      <c r="F186" s="5"/>
      <c r="G186" s="5">
        <v>1635.67347474999</v>
      </c>
      <c r="H186" s="5">
        <v>154.16692517069899</v>
      </c>
      <c r="I186" s="19">
        <f>VLOOKUP("Couche de base",'Taux unitaires'!$B$9:$C$11,2,FALSE)</f>
        <v>200</v>
      </c>
      <c r="J186" s="19">
        <f>VLOOKUP("Revêtement de route",'Taux unitaires'!$B$9:$C$11,2,FALSE)</f>
        <v>101</v>
      </c>
      <c r="K186" s="19">
        <f t="shared" si="22"/>
        <v>327134.694949998</v>
      </c>
      <c r="L186" s="19">
        <f t="shared" si="23"/>
        <v>165203.02094974899</v>
      </c>
      <c r="M186" s="19">
        <f t="shared" si="24"/>
        <v>330406.04189949797</v>
      </c>
      <c r="N186" s="19">
        <f t="shared" si="25"/>
        <v>657540.73684949591</v>
      </c>
      <c r="O186" s="5">
        <f>VLOOKUP(C186,'Durée de vie utile'!$B$15:$E$18,4,FALSE)</f>
        <v>100</v>
      </c>
      <c r="P186" s="5">
        <f>VLOOKUP(C186,'Durée de vie utile'!$B$15:$E$18,3,FALSE)</f>
        <v>80</v>
      </c>
      <c r="Q186" s="5">
        <f>VLOOKUP(C186,'Durée de vie utile'!$B$26:$E$29,4,FALSE)</f>
        <v>40</v>
      </c>
      <c r="R186" s="5">
        <f>VLOOKUP(C186,'Durée de vie utile'!$B$26:$E$29,3,FALSE)</f>
        <v>25</v>
      </c>
      <c r="S186" s="6">
        <f t="shared" si="26"/>
        <v>8219.2592106186985</v>
      </c>
      <c r="T186" s="6">
        <f>(N186/(1+'Autres hypothèses'!$D$5))*('Autres hypothèses'!$D$5/(((1+'Autres hypothèses'!$D$5)^Routes!P186-1)))</f>
        <v>5350.7215437440436</v>
      </c>
      <c r="U186" s="5">
        <v>1995</v>
      </c>
      <c r="V186" s="5">
        <f t="shared" si="18"/>
        <v>27</v>
      </c>
      <c r="W186" s="1">
        <f t="shared" si="19"/>
        <v>0.33750000000000002</v>
      </c>
      <c r="X186" s="3">
        <f t="shared" si="20"/>
        <v>67.5</v>
      </c>
      <c r="Y186" s="3">
        <f t="shared" si="21"/>
        <v>132.5</v>
      </c>
    </row>
    <row r="187" spans="1:25" x14ac:dyDescent="0.25">
      <c r="A187" s="20" t="s">
        <v>657</v>
      </c>
      <c r="B187" s="5" t="s">
        <v>1862</v>
      </c>
      <c r="C187" s="5" t="s">
        <v>1863</v>
      </c>
      <c r="D187" s="5"/>
      <c r="E187" s="5"/>
      <c r="F187" s="5"/>
      <c r="G187" s="5">
        <v>377</v>
      </c>
      <c r="H187" s="5">
        <v>29</v>
      </c>
      <c r="I187" s="19">
        <f>VLOOKUP("Couche de base",'Taux unitaires'!$B$9:$C$11,2,FALSE)</f>
        <v>200</v>
      </c>
      <c r="J187" s="19">
        <f>VLOOKUP("Revêtement de route",'Taux unitaires'!$B$9:$C$11,2,FALSE)</f>
        <v>101</v>
      </c>
      <c r="K187" s="19">
        <f t="shared" si="22"/>
        <v>75400</v>
      </c>
      <c r="L187" s="19">
        <f t="shared" si="23"/>
        <v>38077</v>
      </c>
      <c r="M187" s="19">
        <f t="shared" si="24"/>
        <v>76154</v>
      </c>
      <c r="N187" s="19">
        <f t="shared" si="25"/>
        <v>151554</v>
      </c>
      <c r="O187" s="5">
        <f>VLOOKUP(C187,'Durée de vie utile'!$B$15:$E$18,4,FALSE)</f>
        <v>125</v>
      </c>
      <c r="P187" s="5">
        <f>VLOOKUP(C187,'Durée de vie utile'!$B$15:$E$18,3,FALSE)</f>
        <v>100</v>
      </c>
      <c r="Q187" s="5">
        <f>VLOOKUP(C187,'Durée de vie utile'!$B$26:$E$29,4,FALSE)</f>
        <v>50</v>
      </c>
      <c r="R187" s="5">
        <f>VLOOKUP(C187,'Durée de vie utile'!$B$26:$E$29,3,FALSE)</f>
        <v>30</v>
      </c>
      <c r="S187" s="6">
        <f t="shared" si="26"/>
        <v>1515.54</v>
      </c>
      <c r="T187" s="6">
        <f>(N187/(1+'Autres hypothèses'!$D$5))*('Autres hypothèses'!$D$5/(((1+'Autres hypothèses'!$D$5)^Routes!P187-1)))</f>
        <v>880.17508279745846</v>
      </c>
      <c r="U187" s="5">
        <v>1995</v>
      </c>
      <c r="V187" s="5">
        <f t="shared" si="18"/>
        <v>27</v>
      </c>
      <c r="W187" s="1">
        <f t="shared" si="19"/>
        <v>0.27</v>
      </c>
      <c r="X187" s="3">
        <f t="shared" si="20"/>
        <v>54</v>
      </c>
      <c r="Y187" s="3">
        <f t="shared" si="21"/>
        <v>146</v>
      </c>
    </row>
    <row r="188" spans="1:25" x14ac:dyDescent="0.25">
      <c r="A188" s="20" t="s">
        <v>658</v>
      </c>
      <c r="B188" s="5" t="s">
        <v>1864</v>
      </c>
      <c r="C188" s="5" t="s">
        <v>1865</v>
      </c>
      <c r="D188" s="5"/>
      <c r="E188" s="5"/>
      <c r="F188" s="5"/>
      <c r="G188" s="5">
        <v>280</v>
      </c>
      <c r="H188" s="5">
        <v>25.7</v>
      </c>
      <c r="I188" s="19">
        <f>VLOOKUP("Couche de base",'Taux unitaires'!$B$9:$C$11,2,FALSE)</f>
        <v>200</v>
      </c>
      <c r="J188" s="19">
        <f>VLOOKUP("Revêtement de route",'Taux unitaires'!$B$9:$C$11,2,FALSE)</f>
        <v>101</v>
      </c>
      <c r="K188" s="19">
        <f t="shared" si="22"/>
        <v>56000</v>
      </c>
      <c r="L188" s="19">
        <f t="shared" si="23"/>
        <v>28280</v>
      </c>
      <c r="M188" s="19">
        <f t="shared" si="24"/>
        <v>56560</v>
      </c>
      <c r="N188" s="19">
        <f t="shared" si="25"/>
        <v>112560</v>
      </c>
      <c r="O188" s="5">
        <f>VLOOKUP(C188,'Durée de vie utile'!$B$15:$E$18,4,FALSE)</f>
        <v>125</v>
      </c>
      <c r="P188" s="5">
        <f>VLOOKUP(C188,'Durée de vie utile'!$B$15:$E$18,3,FALSE)</f>
        <v>100</v>
      </c>
      <c r="Q188" s="5">
        <f>VLOOKUP(C188,'Durée de vie utile'!$B$26:$E$29,4,FALSE)</f>
        <v>50</v>
      </c>
      <c r="R188" s="5">
        <f>VLOOKUP(C188,'Durée de vie utile'!$B$26:$E$29,3,FALSE)</f>
        <v>30</v>
      </c>
      <c r="S188" s="6">
        <f t="shared" si="26"/>
        <v>1125.5999999999999</v>
      </c>
      <c r="T188" s="6">
        <f>(N188/(1+'Autres hypothèses'!$D$5))*('Autres hypothèses'!$D$5/(((1+'Autres hypothèses'!$D$5)^Routes!P188-1)))</f>
        <v>653.71093682569858</v>
      </c>
      <c r="U188" s="5">
        <v>1994</v>
      </c>
      <c r="V188" s="5">
        <f t="shared" si="18"/>
        <v>28</v>
      </c>
      <c r="W188" s="1">
        <f t="shared" si="19"/>
        <v>0.28000000000000003</v>
      </c>
      <c r="X188" s="3">
        <f t="shared" si="20"/>
        <v>56.000000000000007</v>
      </c>
      <c r="Y188" s="3">
        <f t="shared" si="21"/>
        <v>144</v>
      </c>
    </row>
    <row r="189" spans="1:25" x14ac:dyDescent="0.25">
      <c r="A189" s="20" t="s">
        <v>659</v>
      </c>
      <c r="B189" s="5" t="s">
        <v>1866</v>
      </c>
      <c r="C189" s="5" t="s">
        <v>1867</v>
      </c>
      <c r="D189" s="5"/>
      <c r="E189" s="5"/>
      <c r="F189" s="5"/>
      <c r="G189" s="5">
        <v>1901.88945783999</v>
      </c>
      <c r="H189" s="5">
        <v>190.18894578422299</v>
      </c>
      <c r="I189" s="19">
        <f>VLOOKUP("Couche de base",'Taux unitaires'!$B$9:$C$11,2,FALSE)</f>
        <v>200</v>
      </c>
      <c r="J189" s="19">
        <f>VLOOKUP("Revêtement de route",'Taux unitaires'!$B$9:$C$11,2,FALSE)</f>
        <v>101</v>
      </c>
      <c r="K189" s="19">
        <f t="shared" si="22"/>
        <v>380377.89156799798</v>
      </c>
      <c r="L189" s="19">
        <f t="shared" si="23"/>
        <v>192090.835241839</v>
      </c>
      <c r="M189" s="19">
        <f t="shared" si="24"/>
        <v>384181.670483678</v>
      </c>
      <c r="N189" s="19">
        <f t="shared" si="25"/>
        <v>764559.56205167598</v>
      </c>
      <c r="O189" s="5">
        <f>VLOOKUP(C189,'Durée de vie utile'!$B$15:$E$18,4,FALSE)</f>
        <v>125</v>
      </c>
      <c r="P189" s="5">
        <f>VLOOKUP(C189,'Durée de vie utile'!$B$15:$E$18,3,FALSE)</f>
        <v>100</v>
      </c>
      <c r="Q189" s="5">
        <f>VLOOKUP(C189,'Durée de vie utile'!$B$26:$E$29,4,FALSE)</f>
        <v>50</v>
      </c>
      <c r="R189" s="5">
        <f>VLOOKUP(C189,'Durée de vie utile'!$B$26:$E$29,3,FALSE)</f>
        <v>30</v>
      </c>
      <c r="S189" s="6">
        <f t="shared" si="26"/>
        <v>7645.5956205167595</v>
      </c>
      <c r="T189" s="6">
        <f>(N189/(1+'Autres hypothèses'!$D$5))*('Autres hypothèses'!$D$5/(((1+'Autres hypothèses'!$D$5)^Routes!P189-1)))</f>
        <v>4440.3069257982143</v>
      </c>
      <c r="U189" s="5">
        <v>1995</v>
      </c>
      <c r="V189" s="5">
        <f t="shared" si="18"/>
        <v>27</v>
      </c>
      <c r="W189" s="1">
        <f t="shared" si="19"/>
        <v>0.27</v>
      </c>
      <c r="X189" s="3">
        <f t="shared" si="20"/>
        <v>54</v>
      </c>
      <c r="Y189" s="3">
        <f t="shared" si="21"/>
        <v>146</v>
      </c>
    </row>
    <row r="190" spans="1:25" x14ac:dyDescent="0.25">
      <c r="A190" s="20" t="s">
        <v>660</v>
      </c>
      <c r="B190" s="5" t="s">
        <v>1868</v>
      </c>
      <c r="C190" s="5" t="s">
        <v>1869</v>
      </c>
      <c r="D190" s="5"/>
      <c r="E190" s="5"/>
      <c r="F190" s="5"/>
      <c r="G190" s="5">
        <v>1407.0439951799899</v>
      </c>
      <c r="H190" s="5">
        <v>189.921987707856</v>
      </c>
      <c r="I190" s="19">
        <f>VLOOKUP("Couche de base",'Taux unitaires'!$B$9:$C$11,2,FALSE)</f>
        <v>200</v>
      </c>
      <c r="J190" s="19">
        <f>VLOOKUP("Revêtement de route",'Taux unitaires'!$B$9:$C$11,2,FALSE)</f>
        <v>101</v>
      </c>
      <c r="K190" s="19">
        <f t="shared" si="22"/>
        <v>281408.799035998</v>
      </c>
      <c r="L190" s="19">
        <f t="shared" si="23"/>
        <v>142111.44351317899</v>
      </c>
      <c r="M190" s="19">
        <f t="shared" si="24"/>
        <v>284222.88702635799</v>
      </c>
      <c r="N190" s="19">
        <f t="shared" si="25"/>
        <v>565631.68606235599</v>
      </c>
      <c r="O190" s="5">
        <f>VLOOKUP(C190,'Durée de vie utile'!$B$15:$E$18,4,FALSE)</f>
        <v>125</v>
      </c>
      <c r="P190" s="5">
        <f>VLOOKUP(C190,'Durée de vie utile'!$B$15:$E$18,3,FALSE)</f>
        <v>100</v>
      </c>
      <c r="Q190" s="5">
        <f>VLOOKUP(C190,'Durée de vie utile'!$B$26:$E$29,4,FALSE)</f>
        <v>50</v>
      </c>
      <c r="R190" s="5">
        <f>VLOOKUP(C190,'Durée de vie utile'!$B$26:$E$29,3,FALSE)</f>
        <v>30</v>
      </c>
      <c r="S190" s="6">
        <f t="shared" si="26"/>
        <v>5656.3168606235595</v>
      </c>
      <c r="T190" s="6">
        <f>(N190/(1+'Autres hypothèses'!$D$5))*('Autres hypothèses'!$D$5/(((1+'Autres hypothèses'!$D$5)^Routes!P190-1)))</f>
        <v>3285.0001723003038</v>
      </c>
      <c r="U190" s="5">
        <v>1996</v>
      </c>
      <c r="V190" s="5">
        <f t="shared" si="18"/>
        <v>26</v>
      </c>
      <c r="W190" s="1">
        <f t="shared" si="19"/>
        <v>0.26</v>
      </c>
      <c r="X190" s="3">
        <f t="shared" si="20"/>
        <v>52</v>
      </c>
      <c r="Y190" s="3">
        <f t="shared" si="21"/>
        <v>148</v>
      </c>
    </row>
    <row r="191" spans="1:25" x14ac:dyDescent="0.25">
      <c r="A191" s="20" t="s">
        <v>661</v>
      </c>
      <c r="B191" s="5" t="s">
        <v>1870</v>
      </c>
      <c r="C191" s="5" t="s">
        <v>1871</v>
      </c>
      <c r="D191" s="5"/>
      <c r="E191" s="5"/>
      <c r="F191" s="5"/>
      <c r="G191" s="5">
        <v>219</v>
      </c>
      <c r="H191" s="5">
        <v>43.8</v>
      </c>
      <c r="I191" s="19">
        <f>VLOOKUP("Couche de base",'Taux unitaires'!$B$9:$C$11,2,FALSE)</f>
        <v>200</v>
      </c>
      <c r="J191" s="19">
        <f>VLOOKUP("Revêtement de route",'Taux unitaires'!$B$9:$C$11,2,FALSE)</f>
        <v>101</v>
      </c>
      <c r="K191" s="19">
        <f t="shared" si="22"/>
        <v>43800</v>
      </c>
      <c r="L191" s="19">
        <f t="shared" si="23"/>
        <v>22119</v>
      </c>
      <c r="M191" s="19">
        <f t="shared" si="24"/>
        <v>44238</v>
      </c>
      <c r="N191" s="19">
        <f t="shared" si="25"/>
        <v>88038</v>
      </c>
      <c r="O191" s="5">
        <f>VLOOKUP(C191,'Durée de vie utile'!$B$15:$E$18,4,FALSE)</f>
        <v>125</v>
      </c>
      <c r="P191" s="5">
        <f>VLOOKUP(C191,'Durée de vie utile'!$B$15:$E$18,3,FALSE)</f>
        <v>100</v>
      </c>
      <c r="Q191" s="5">
        <f>VLOOKUP(C191,'Durée de vie utile'!$B$26:$E$29,4,FALSE)</f>
        <v>50</v>
      </c>
      <c r="R191" s="5">
        <f>VLOOKUP(C191,'Durée de vie utile'!$B$26:$E$29,3,FALSE)</f>
        <v>30</v>
      </c>
      <c r="S191" s="6">
        <f t="shared" si="26"/>
        <v>880.38</v>
      </c>
      <c r="T191" s="6">
        <f>(N191/(1+'Autres hypothèses'!$D$5))*('Autres hypothèses'!$D$5/(((1+'Autres hypothèses'!$D$5)^Routes!P191-1)))</f>
        <v>511.29533987438572</v>
      </c>
      <c r="U191" s="5">
        <v>1996</v>
      </c>
      <c r="V191" s="5">
        <f t="shared" si="18"/>
        <v>26</v>
      </c>
      <c r="W191" s="1">
        <f t="shared" si="19"/>
        <v>0.26</v>
      </c>
      <c r="X191" s="3">
        <f t="shared" si="20"/>
        <v>52</v>
      </c>
      <c r="Y191" s="3">
        <f t="shared" si="21"/>
        <v>148</v>
      </c>
    </row>
    <row r="192" spans="1:25" x14ac:dyDescent="0.25">
      <c r="A192" s="20" t="s">
        <v>662</v>
      </c>
      <c r="B192" s="5" t="s">
        <v>1872</v>
      </c>
      <c r="C192" s="5" t="s">
        <v>1873</v>
      </c>
      <c r="D192" s="5"/>
      <c r="E192" s="5"/>
      <c r="F192" s="5"/>
      <c r="G192" s="5">
        <v>665.97603246999904</v>
      </c>
      <c r="H192" s="5">
        <v>63.500040292996601</v>
      </c>
      <c r="I192" s="19">
        <f>VLOOKUP("Couche de base",'Taux unitaires'!$B$9:$C$11,2,FALSE)</f>
        <v>200</v>
      </c>
      <c r="J192" s="19">
        <f>VLOOKUP("Revêtement de route",'Taux unitaires'!$B$9:$C$11,2,FALSE)</f>
        <v>101</v>
      </c>
      <c r="K192" s="19">
        <f t="shared" si="22"/>
        <v>133195.20649399981</v>
      </c>
      <c r="L192" s="19">
        <f t="shared" si="23"/>
        <v>67263.579279469908</v>
      </c>
      <c r="M192" s="19">
        <f t="shared" si="24"/>
        <v>134527.15855893982</v>
      </c>
      <c r="N192" s="19">
        <f t="shared" si="25"/>
        <v>267722.36505293963</v>
      </c>
      <c r="O192" s="5">
        <f>VLOOKUP(C192,'Durée de vie utile'!$B$15:$E$18,4,FALSE)</f>
        <v>125</v>
      </c>
      <c r="P192" s="5">
        <f>VLOOKUP(C192,'Durée de vie utile'!$B$15:$E$18,3,FALSE)</f>
        <v>100</v>
      </c>
      <c r="Q192" s="5">
        <f>VLOOKUP(C192,'Durée de vie utile'!$B$26:$E$29,4,FALSE)</f>
        <v>50</v>
      </c>
      <c r="R192" s="5">
        <f>VLOOKUP(C192,'Durée de vie utile'!$B$26:$E$29,3,FALSE)</f>
        <v>30</v>
      </c>
      <c r="S192" s="6">
        <f t="shared" si="26"/>
        <v>2677.2236505293963</v>
      </c>
      <c r="T192" s="6">
        <f>(N192/(1+'Autres hypothèses'!$D$5))*('Autres hypothèses'!$D$5/(((1+'Autres hypothèses'!$D$5)^Routes!P192-1)))</f>
        <v>1554.8422003193748</v>
      </c>
      <c r="U192" s="5">
        <v>1996</v>
      </c>
      <c r="V192" s="5">
        <f t="shared" si="18"/>
        <v>26</v>
      </c>
      <c r="W192" s="1">
        <f t="shared" si="19"/>
        <v>0.26</v>
      </c>
      <c r="X192" s="3">
        <f t="shared" si="20"/>
        <v>52</v>
      </c>
      <c r="Y192" s="3">
        <f t="shared" si="21"/>
        <v>148</v>
      </c>
    </row>
    <row r="193" spans="1:25" x14ac:dyDescent="0.25">
      <c r="A193" s="20" t="s">
        <v>663</v>
      </c>
      <c r="B193" s="5" t="s">
        <v>1874</v>
      </c>
      <c r="C193" s="5" t="s">
        <v>1875</v>
      </c>
      <c r="D193" s="5"/>
      <c r="E193" s="5"/>
      <c r="F193" s="5"/>
      <c r="G193" s="5">
        <v>1078.4410888499899</v>
      </c>
      <c r="H193" s="5">
        <v>89.100422428966496</v>
      </c>
      <c r="I193" s="19">
        <f>VLOOKUP("Couche de base",'Taux unitaires'!$B$9:$C$11,2,FALSE)</f>
        <v>200</v>
      </c>
      <c r="J193" s="19">
        <f>VLOOKUP("Revêtement de route",'Taux unitaires'!$B$9:$C$11,2,FALSE)</f>
        <v>101</v>
      </c>
      <c r="K193" s="19">
        <f t="shared" si="22"/>
        <v>215688.21776999798</v>
      </c>
      <c r="L193" s="19">
        <f t="shared" si="23"/>
        <v>108922.54997384897</v>
      </c>
      <c r="M193" s="19">
        <f t="shared" si="24"/>
        <v>217845.09994769795</v>
      </c>
      <c r="N193" s="19">
        <f t="shared" si="25"/>
        <v>433533.31771769596</v>
      </c>
      <c r="O193" s="5">
        <f>VLOOKUP(C193,'Durée de vie utile'!$B$15:$E$18,4,FALSE)</f>
        <v>125</v>
      </c>
      <c r="P193" s="5">
        <f>VLOOKUP(C193,'Durée de vie utile'!$B$15:$E$18,3,FALSE)</f>
        <v>100</v>
      </c>
      <c r="Q193" s="5">
        <f>VLOOKUP(C193,'Durée de vie utile'!$B$26:$E$29,4,FALSE)</f>
        <v>50</v>
      </c>
      <c r="R193" s="5">
        <f>VLOOKUP(C193,'Durée de vie utile'!$B$26:$E$29,3,FALSE)</f>
        <v>30</v>
      </c>
      <c r="S193" s="6">
        <f t="shared" si="26"/>
        <v>4335.3331771769599</v>
      </c>
      <c r="T193" s="6">
        <f>(N193/(1+'Autres hypothèses'!$D$5))*('Autres hypothèses'!$D$5/(((1+'Autres hypothèses'!$D$5)^Routes!P193-1)))</f>
        <v>2517.8169089409053</v>
      </c>
      <c r="U193" s="5">
        <v>1996</v>
      </c>
      <c r="V193" s="5">
        <f t="shared" si="18"/>
        <v>26</v>
      </c>
      <c r="W193" s="1">
        <f t="shared" si="19"/>
        <v>0.26</v>
      </c>
      <c r="X193" s="3">
        <f t="shared" si="20"/>
        <v>52</v>
      </c>
      <c r="Y193" s="3">
        <f t="shared" si="21"/>
        <v>148</v>
      </c>
    </row>
    <row r="194" spans="1:25" x14ac:dyDescent="0.25">
      <c r="A194" s="20" t="s">
        <v>664</v>
      </c>
      <c r="B194" s="5" t="s">
        <v>1876</v>
      </c>
      <c r="C194" s="5" t="s">
        <v>1877</v>
      </c>
      <c r="D194" s="5"/>
      <c r="E194" s="5"/>
      <c r="F194" s="5"/>
      <c r="G194" s="5">
        <v>1096.3958843200001</v>
      </c>
      <c r="H194" s="5">
        <v>91.273566019171099</v>
      </c>
      <c r="I194" s="19">
        <f>VLOOKUP("Couche de base",'Taux unitaires'!$B$9:$C$11,2,FALSE)</f>
        <v>200</v>
      </c>
      <c r="J194" s="19">
        <f>VLOOKUP("Revêtement de route",'Taux unitaires'!$B$9:$C$11,2,FALSE)</f>
        <v>101</v>
      </c>
      <c r="K194" s="19">
        <f t="shared" si="22"/>
        <v>219279.17686400001</v>
      </c>
      <c r="L194" s="19">
        <f t="shared" si="23"/>
        <v>110735.98431632</v>
      </c>
      <c r="M194" s="19">
        <f t="shared" si="24"/>
        <v>221471.96863264</v>
      </c>
      <c r="N194" s="19">
        <f t="shared" si="25"/>
        <v>440751.14549664001</v>
      </c>
      <c r="O194" s="5">
        <f>VLOOKUP(C194,'Durée de vie utile'!$B$15:$E$18,4,FALSE)</f>
        <v>125</v>
      </c>
      <c r="P194" s="5">
        <f>VLOOKUP(C194,'Durée de vie utile'!$B$15:$E$18,3,FALSE)</f>
        <v>100</v>
      </c>
      <c r="Q194" s="5">
        <f>VLOOKUP(C194,'Durée de vie utile'!$B$26:$E$29,4,FALSE)</f>
        <v>50</v>
      </c>
      <c r="R194" s="5">
        <f>VLOOKUP(C194,'Durée de vie utile'!$B$26:$E$29,3,FALSE)</f>
        <v>30</v>
      </c>
      <c r="S194" s="6">
        <f t="shared" si="26"/>
        <v>4407.5114549664004</v>
      </c>
      <c r="T194" s="6">
        <f>(N194/(1+'Autres hypothèses'!$D$5))*('Autres hypothèses'!$D$5/(((1+'Autres hypothèses'!$D$5)^Routes!P194-1)))</f>
        <v>2559.7356452523841</v>
      </c>
      <c r="U194" s="5">
        <v>1994</v>
      </c>
      <c r="V194" s="5">
        <f t="shared" ref="V194:V250" si="27">2022-U194</f>
        <v>28</v>
      </c>
      <c r="W194" s="1">
        <f t="shared" ref="W194:W250" si="28">V194/P194</f>
        <v>0.28000000000000003</v>
      </c>
      <c r="X194" s="3">
        <f t="shared" ref="X194:X250" si="29">W194*I194</f>
        <v>56.000000000000007</v>
      </c>
      <c r="Y194" s="3">
        <f t="shared" ref="Y194:Y250" si="30">I194-X194</f>
        <v>144</v>
      </c>
    </row>
    <row r="195" spans="1:25" x14ac:dyDescent="0.25">
      <c r="A195" s="20" t="s">
        <v>665</v>
      </c>
      <c r="B195" s="5" t="s">
        <v>1878</v>
      </c>
      <c r="C195" s="5" t="s">
        <v>1879</v>
      </c>
      <c r="D195" s="5"/>
      <c r="E195" s="5"/>
      <c r="F195" s="5"/>
      <c r="G195" s="5">
        <v>659.3</v>
      </c>
      <c r="H195" s="5">
        <v>44</v>
      </c>
      <c r="I195" s="19">
        <f>VLOOKUP("Couche de base",'Taux unitaires'!$B$9:$C$11,2,FALSE)</f>
        <v>200</v>
      </c>
      <c r="J195" s="19">
        <f>VLOOKUP("Revêtement de route",'Taux unitaires'!$B$9:$C$11,2,FALSE)</f>
        <v>101</v>
      </c>
      <c r="K195" s="19">
        <f t="shared" ref="K195:K250" si="31">I195*G195</f>
        <v>131860</v>
      </c>
      <c r="L195" s="19">
        <f t="shared" ref="L195:L250" si="32">J195*G195</f>
        <v>66589.299999999988</v>
      </c>
      <c r="M195" s="19">
        <f t="shared" ref="M195:M250" si="33">(ROUNDDOWN(P195/R195,0)-1)*L195</f>
        <v>133178.59999999998</v>
      </c>
      <c r="N195" s="19">
        <f t="shared" ref="N195:N250" si="34">K195+M195</f>
        <v>265038.59999999998</v>
      </c>
      <c r="O195" s="5">
        <f>VLOOKUP(C195,'Durée de vie utile'!$B$15:$E$18,4,FALSE)</f>
        <v>125</v>
      </c>
      <c r="P195" s="5">
        <f>VLOOKUP(C195,'Durée de vie utile'!$B$15:$E$18,3,FALSE)</f>
        <v>100</v>
      </c>
      <c r="Q195" s="5">
        <f>VLOOKUP(C195,'Durée de vie utile'!$B$26:$E$29,4,FALSE)</f>
        <v>50</v>
      </c>
      <c r="R195" s="5">
        <f>VLOOKUP(C195,'Durée de vie utile'!$B$26:$E$29,3,FALSE)</f>
        <v>30</v>
      </c>
      <c r="S195" s="6">
        <f t="shared" ref="S195:S250" si="35">N195/P195</f>
        <v>2650.386</v>
      </c>
      <c r="T195" s="6">
        <f>(N195/(1+'Autres hypothèses'!$D$5))*('Autres hypothèses'!$D$5/(((1+'Autres hypothèses'!$D$5)^Routes!P195-1)))</f>
        <v>1539.2557880327965</v>
      </c>
      <c r="U195" s="5">
        <v>1994</v>
      </c>
      <c r="V195" s="5">
        <f t="shared" si="27"/>
        <v>28</v>
      </c>
      <c r="W195" s="1">
        <f t="shared" si="28"/>
        <v>0.28000000000000003</v>
      </c>
      <c r="X195" s="3">
        <f t="shared" si="29"/>
        <v>56.000000000000007</v>
      </c>
      <c r="Y195" s="3">
        <f t="shared" si="30"/>
        <v>144</v>
      </c>
    </row>
    <row r="196" spans="1:25" x14ac:dyDescent="0.25">
      <c r="A196" s="20" t="s">
        <v>666</v>
      </c>
      <c r="B196" s="5" t="s">
        <v>1880</v>
      </c>
      <c r="C196" s="5" t="s">
        <v>1881</v>
      </c>
      <c r="D196" s="5"/>
      <c r="E196" s="5"/>
      <c r="F196" s="5"/>
      <c r="G196" s="5">
        <v>542.5</v>
      </c>
      <c r="H196" s="5">
        <v>60.3</v>
      </c>
      <c r="I196" s="19">
        <f>VLOOKUP("Couche de base",'Taux unitaires'!$B$9:$C$11,2,FALSE)</f>
        <v>200</v>
      </c>
      <c r="J196" s="19">
        <f>VLOOKUP("Revêtement de route",'Taux unitaires'!$B$9:$C$11,2,FALSE)</f>
        <v>101</v>
      </c>
      <c r="K196" s="19">
        <f t="shared" si="31"/>
        <v>108500</v>
      </c>
      <c r="L196" s="19">
        <f t="shared" si="32"/>
        <v>54792.5</v>
      </c>
      <c r="M196" s="19">
        <f t="shared" si="33"/>
        <v>109585</v>
      </c>
      <c r="N196" s="19">
        <f t="shared" si="34"/>
        <v>218085</v>
      </c>
      <c r="O196" s="5">
        <f>VLOOKUP(C196,'Durée de vie utile'!$B$15:$E$18,4,FALSE)</f>
        <v>125</v>
      </c>
      <c r="P196" s="5">
        <f>VLOOKUP(C196,'Durée de vie utile'!$B$15:$E$18,3,FALSE)</f>
        <v>100</v>
      </c>
      <c r="Q196" s="5">
        <f>VLOOKUP(C196,'Durée de vie utile'!$B$26:$E$29,4,FALSE)</f>
        <v>50</v>
      </c>
      <c r="R196" s="5">
        <f>VLOOKUP(C196,'Durée de vie utile'!$B$26:$E$29,3,FALSE)</f>
        <v>30</v>
      </c>
      <c r="S196" s="6">
        <f t="shared" si="35"/>
        <v>2180.85</v>
      </c>
      <c r="T196" s="6">
        <f>(N196/(1+'Autres hypothèses'!$D$5))*('Autres hypothèses'!$D$5/(((1+'Autres hypothèses'!$D$5)^Routes!P196-1)))</f>
        <v>1266.5649400997911</v>
      </c>
      <c r="U196" s="5">
        <v>1994</v>
      </c>
      <c r="V196" s="5">
        <f t="shared" si="27"/>
        <v>28</v>
      </c>
      <c r="W196" s="1">
        <f t="shared" si="28"/>
        <v>0.28000000000000003</v>
      </c>
      <c r="X196" s="3">
        <f t="shared" si="29"/>
        <v>56.000000000000007</v>
      </c>
      <c r="Y196" s="3">
        <f t="shared" si="30"/>
        <v>144</v>
      </c>
    </row>
    <row r="197" spans="1:25" x14ac:dyDescent="0.25">
      <c r="A197" s="20" t="s">
        <v>667</v>
      </c>
      <c r="B197" s="5" t="s">
        <v>1882</v>
      </c>
      <c r="C197" s="5" t="s">
        <v>1883</v>
      </c>
      <c r="D197" s="5"/>
      <c r="E197" s="5"/>
      <c r="F197" s="5"/>
      <c r="G197" s="5">
        <v>644.77885200000003</v>
      </c>
      <c r="H197" s="5">
        <v>91.951071093863703</v>
      </c>
      <c r="I197" s="19">
        <f>VLOOKUP("Couche de base",'Taux unitaires'!$B$9:$C$11,2,FALSE)</f>
        <v>200</v>
      </c>
      <c r="J197" s="19">
        <f>VLOOKUP("Revêtement de route",'Taux unitaires'!$B$9:$C$11,2,FALSE)</f>
        <v>101</v>
      </c>
      <c r="K197" s="19">
        <f t="shared" si="31"/>
        <v>128955.77040000001</v>
      </c>
      <c r="L197" s="19">
        <f t="shared" si="32"/>
        <v>65122.664052</v>
      </c>
      <c r="M197" s="19">
        <f t="shared" si="33"/>
        <v>130245.328104</v>
      </c>
      <c r="N197" s="19">
        <f t="shared" si="34"/>
        <v>259201.09850399999</v>
      </c>
      <c r="O197" s="5">
        <f>VLOOKUP(C197,'Durée de vie utile'!$B$15:$E$18,4,FALSE)</f>
        <v>125</v>
      </c>
      <c r="P197" s="5">
        <f>VLOOKUP(C197,'Durée de vie utile'!$B$15:$E$18,3,FALSE)</f>
        <v>100</v>
      </c>
      <c r="Q197" s="5">
        <f>VLOOKUP(C197,'Durée de vie utile'!$B$26:$E$29,4,FALSE)</f>
        <v>50</v>
      </c>
      <c r="R197" s="5">
        <f>VLOOKUP(C197,'Durée de vie utile'!$B$26:$E$29,3,FALSE)</f>
        <v>30</v>
      </c>
      <c r="S197" s="6">
        <f t="shared" si="35"/>
        <v>2592.0109850399999</v>
      </c>
      <c r="T197" s="6">
        <f>(N197/(1+'Autres hypothèses'!$D$5))*('Autres hypothèses'!$D$5/(((1+'Autres hypothèses'!$D$5)^Routes!P197-1)))</f>
        <v>1505.3535263797089</v>
      </c>
      <c r="U197" s="5">
        <v>1997</v>
      </c>
      <c r="V197" s="5">
        <f t="shared" si="27"/>
        <v>25</v>
      </c>
      <c r="W197" s="1">
        <f t="shared" si="28"/>
        <v>0.25</v>
      </c>
      <c r="X197" s="3">
        <f t="shared" si="29"/>
        <v>50</v>
      </c>
      <c r="Y197" s="3">
        <f t="shared" si="30"/>
        <v>150</v>
      </c>
    </row>
    <row r="198" spans="1:25" x14ac:dyDescent="0.25">
      <c r="A198" s="20" t="s">
        <v>668</v>
      </c>
      <c r="B198" s="5" t="s">
        <v>1884</v>
      </c>
      <c r="C198" s="5" t="s">
        <v>1885</v>
      </c>
      <c r="D198" s="5"/>
      <c r="E198" s="5"/>
      <c r="F198" s="5"/>
      <c r="G198" s="5">
        <v>1469.9</v>
      </c>
      <c r="H198" s="5">
        <v>248.5</v>
      </c>
      <c r="I198" s="19">
        <f>VLOOKUP("Couche de base",'Taux unitaires'!$B$9:$C$11,2,FALSE)</f>
        <v>200</v>
      </c>
      <c r="J198" s="19">
        <f>VLOOKUP("Revêtement de route",'Taux unitaires'!$B$9:$C$11,2,FALSE)</f>
        <v>101</v>
      </c>
      <c r="K198" s="19">
        <f t="shared" si="31"/>
        <v>293980</v>
      </c>
      <c r="L198" s="19">
        <f t="shared" si="32"/>
        <v>148459.90000000002</v>
      </c>
      <c r="M198" s="19">
        <f t="shared" si="33"/>
        <v>296919.80000000005</v>
      </c>
      <c r="N198" s="19">
        <f t="shared" si="34"/>
        <v>590899.80000000005</v>
      </c>
      <c r="O198" s="5">
        <f>VLOOKUP(C198,'Durée de vie utile'!$B$15:$E$18,4,FALSE)</f>
        <v>125</v>
      </c>
      <c r="P198" s="5">
        <f>VLOOKUP(C198,'Durée de vie utile'!$B$15:$E$18,3,FALSE)</f>
        <v>100</v>
      </c>
      <c r="Q198" s="5">
        <f>VLOOKUP(C198,'Durée de vie utile'!$B$26:$E$29,4,FALSE)</f>
        <v>50</v>
      </c>
      <c r="R198" s="5">
        <f>VLOOKUP(C198,'Durée de vie utile'!$B$26:$E$29,3,FALSE)</f>
        <v>30</v>
      </c>
      <c r="S198" s="6">
        <f t="shared" si="35"/>
        <v>5908.9980000000005</v>
      </c>
      <c r="T198" s="6">
        <f>(N198/(1+'Autres hypothèses'!$D$5))*('Autres hypothèses'!$D$5/(((1+'Autres hypothèses'!$D$5)^Routes!P198-1)))</f>
        <v>3431.7489501431946</v>
      </c>
      <c r="U198" s="5">
        <v>1997</v>
      </c>
      <c r="V198" s="5">
        <f t="shared" si="27"/>
        <v>25</v>
      </c>
      <c r="W198" s="1">
        <f t="shared" si="28"/>
        <v>0.25</v>
      </c>
      <c r="X198" s="3">
        <f t="shared" si="29"/>
        <v>50</v>
      </c>
      <c r="Y198" s="3">
        <f t="shared" si="30"/>
        <v>150</v>
      </c>
    </row>
    <row r="199" spans="1:25" x14ac:dyDescent="0.25">
      <c r="A199" s="20" t="s">
        <v>669</v>
      </c>
      <c r="B199" s="5" t="s">
        <v>1886</v>
      </c>
      <c r="C199" s="5" t="s">
        <v>1887</v>
      </c>
      <c r="D199" s="5"/>
      <c r="E199" s="5"/>
      <c r="F199" s="5"/>
      <c r="G199" s="5">
        <v>2011.16255083999</v>
      </c>
      <c r="H199" s="5">
        <v>173.59508339026399</v>
      </c>
      <c r="I199" s="19">
        <f>VLOOKUP("Couche de base",'Taux unitaires'!$B$9:$C$11,2,FALSE)</f>
        <v>200</v>
      </c>
      <c r="J199" s="19">
        <f>VLOOKUP("Revêtement de route",'Taux unitaires'!$B$9:$C$11,2,FALSE)</f>
        <v>101</v>
      </c>
      <c r="K199" s="19">
        <f t="shared" si="31"/>
        <v>402232.51016799797</v>
      </c>
      <c r="L199" s="19">
        <f t="shared" si="32"/>
        <v>203127.41763483899</v>
      </c>
      <c r="M199" s="19">
        <f t="shared" si="33"/>
        <v>406254.83526967798</v>
      </c>
      <c r="N199" s="19">
        <f t="shared" si="34"/>
        <v>808487.34543767595</v>
      </c>
      <c r="O199" s="5">
        <f>VLOOKUP(C199,'Durée de vie utile'!$B$15:$E$18,4,FALSE)</f>
        <v>125</v>
      </c>
      <c r="P199" s="5">
        <f>VLOOKUP(C199,'Durée de vie utile'!$B$15:$E$18,3,FALSE)</f>
        <v>100</v>
      </c>
      <c r="Q199" s="5">
        <f>VLOOKUP(C199,'Durée de vie utile'!$B$26:$E$29,4,FALSE)</f>
        <v>50</v>
      </c>
      <c r="R199" s="5">
        <f>VLOOKUP(C199,'Durée de vie utile'!$B$26:$E$29,3,FALSE)</f>
        <v>30</v>
      </c>
      <c r="S199" s="6">
        <f t="shared" si="35"/>
        <v>8084.8734543767596</v>
      </c>
      <c r="T199" s="6">
        <f>(N199/(1+'Autres hypothèses'!$D$5))*('Autres hypothèses'!$D$5/(((1+'Autres hypothèses'!$D$5)^Routes!P199-1)))</f>
        <v>4695.4248400656134</v>
      </c>
      <c r="U199" s="5">
        <v>1997</v>
      </c>
      <c r="V199" s="5">
        <f t="shared" si="27"/>
        <v>25</v>
      </c>
      <c r="W199" s="1">
        <f t="shared" si="28"/>
        <v>0.25</v>
      </c>
      <c r="X199" s="3">
        <f t="shared" si="29"/>
        <v>50</v>
      </c>
      <c r="Y199" s="3">
        <f t="shared" si="30"/>
        <v>150</v>
      </c>
    </row>
    <row r="200" spans="1:25" x14ac:dyDescent="0.25">
      <c r="A200" s="20" t="s">
        <v>670</v>
      </c>
      <c r="B200" s="5" t="s">
        <v>1888</v>
      </c>
      <c r="C200" s="5" t="s">
        <v>1889</v>
      </c>
      <c r="D200" s="5"/>
      <c r="E200" s="5"/>
      <c r="F200" s="5"/>
      <c r="G200" s="5">
        <v>586.6</v>
      </c>
      <c r="H200" s="5">
        <v>46.9</v>
      </c>
      <c r="I200" s="19">
        <f>VLOOKUP("Couche de base",'Taux unitaires'!$B$9:$C$11,2,FALSE)</f>
        <v>200</v>
      </c>
      <c r="J200" s="19">
        <f>VLOOKUP("Revêtement de route",'Taux unitaires'!$B$9:$C$11,2,FALSE)</f>
        <v>101</v>
      </c>
      <c r="K200" s="19">
        <f t="shared" si="31"/>
        <v>117320</v>
      </c>
      <c r="L200" s="19">
        <f t="shared" si="32"/>
        <v>59246.600000000006</v>
      </c>
      <c r="M200" s="19">
        <f t="shared" si="33"/>
        <v>118493.20000000001</v>
      </c>
      <c r="N200" s="19">
        <f t="shared" si="34"/>
        <v>235813.2</v>
      </c>
      <c r="O200" s="5">
        <f>VLOOKUP(C200,'Durée de vie utile'!$B$15:$E$18,4,FALSE)</f>
        <v>125</v>
      </c>
      <c r="P200" s="5">
        <f>VLOOKUP(C200,'Durée de vie utile'!$B$15:$E$18,3,FALSE)</f>
        <v>100</v>
      </c>
      <c r="Q200" s="5">
        <f>VLOOKUP(C200,'Durée de vie utile'!$B$26:$E$29,4,FALSE)</f>
        <v>50</v>
      </c>
      <c r="R200" s="5">
        <f>VLOOKUP(C200,'Durée de vie utile'!$B$26:$E$29,3,FALSE)</f>
        <v>30</v>
      </c>
      <c r="S200" s="6">
        <f t="shared" si="35"/>
        <v>2358.1320000000001</v>
      </c>
      <c r="T200" s="6">
        <f>(N200/(1+'Autres hypothèses'!$D$5))*('Autres hypothèses'!$D$5/(((1+'Autres hypothèses'!$D$5)^Routes!P200-1)))</f>
        <v>1369.5244126498387</v>
      </c>
      <c r="U200" s="5">
        <v>1997</v>
      </c>
      <c r="V200" s="5">
        <f t="shared" si="27"/>
        <v>25</v>
      </c>
      <c r="W200" s="1">
        <f t="shared" si="28"/>
        <v>0.25</v>
      </c>
      <c r="X200" s="3">
        <f t="shared" si="29"/>
        <v>50</v>
      </c>
      <c r="Y200" s="3">
        <f t="shared" si="30"/>
        <v>150</v>
      </c>
    </row>
    <row r="201" spans="1:25" x14ac:dyDescent="0.25">
      <c r="A201" s="20" t="s">
        <v>671</v>
      </c>
      <c r="B201" s="5" t="s">
        <v>1890</v>
      </c>
      <c r="C201" s="5" t="s">
        <v>1891</v>
      </c>
      <c r="D201" s="5"/>
      <c r="E201" s="5"/>
      <c r="F201" s="5"/>
      <c r="G201" s="5">
        <v>969.1</v>
      </c>
      <c r="H201" s="5">
        <v>129.19999999999999</v>
      </c>
      <c r="I201" s="19">
        <f>VLOOKUP("Couche de base",'Taux unitaires'!$B$9:$C$11,2,FALSE)</f>
        <v>200</v>
      </c>
      <c r="J201" s="19">
        <f>VLOOKUP("Revêtement de route",'Taux unitaires'!$B$9:$C$11,2,FALSE)</f>
        <v>101</v>
      </c>
      <c r="K201" s="19">
        <f t="shared" si="31"/>
        <v>193820</v>
      </c>
      <c r="L201" s="19">
        <f t="shared" si="32"/>
        <v>97879.1</v>
      </c>
      <c r="M201" s="19">
        <f t="shared" si="33"/>
        <v>195758.2</v>
      </c>
      <c r="N201" s="19">
        <f t="shared" si="34"/>
        <v>389578.2</v>
      </c>
      <c r="O201" s="5">
        <f>VLOOKUP(C201,'Durée de vie utile'!$B$15:$E$18,4,FALSE)</f>
        <v>125</v>
      </c>
      <c r="P201" s="5">
        <f>VLOOKUP(C201,'Durée de vie utile'!$B$15:$E$18,3,FALSE)</f>
        <v>100</v>
      </c>
      <c r="Q201" s="5">
        <f>VLOOKUP(C201,'Durée de vie utile'!$B$26:$E$29,4,FALSE)</f>
        <v>50</v>
      </c>
      <c r="R201" s="5">
        <f>VLOOKUP(C201,'Durée de vie utile'!$B$26:$E$29,3,FALSE)</f>
        <v>30</v>
      </c>
      <c r="S201" s="6">
        <f t="shared" si="35"/>
        <v>3895.7820000000002</v>
      </c>
      <c r="T201" s="6">
        <f>(N201/(1+'Autres hypothèses'!$D$5))*('Autres hypothèses'!$D$5/(((1+'Autres hypothèses'!$D$5)^Routes!P201-1)))</f>
        <v>2262.5402459920874</v>
      </c>
      <c r="U201" s="5">
        <v>1997</v>
      </c>
      <c r="V201" s="5">
        <f t="shared" si="27"/>
        <v>25</v>
      </c>
      <c r="W201" s="1">
        <f t="shared" si="28"/>
        <v>0.25</v>
      </c>
      <c r="X201" s="3">
        <f t="shared" si="29"/>
        <v>50</v>
      </c>
      <c r="Y201" s="3">
        <f t="shared" si="30"/>
        <v>150</v>
      </c>
    </row>
    <row r="202" spans="1:25" x14ac:dyDescent="0.25">
      <c r="A202" s="20" t="s">
        <v>672</v>
      </c>
      <c r="B202" s="5" t="s">
        <v>1892</v>
      </c>
      <c r="C202" s="5" t="s">
        <v>1893</v>
      </c>
      <c r="D202" s="5"/>
      <c r="E202" s="5"/>
      <c r="F202" s="5"/>
      <c r="G202" s="5">
        <v>248.44592452000001</v>
      </c>
      <c r="H202" s="5">
        <v>29.525457684073501</v>
      </c>
      <c r="I202" s="19">
        <f>VLOOKUP("Couche de base",'Taux unitaires'!$B$9:$C$11,2,FALSE)</f>
        <v>200</v>
      </c>
      <c r="J202" s="19">
        <f>VLOOKUP("Revêtement de route",'Taux unitaires'!$B$9:$C$11,2,FALSE)</f>
        <v>101</v>
      </c>
      <c r="K202" s="19">
        <f t="shared" si="31"/>
        <v>49689.184904000002</v>
      </c>
      <c r="L202" s="19">
        <f t="shared" si="32"/>
        <v>25093.038376520002</v>
      </c>
      <c r="M202" s="19">
        <f t="shared" si="33"/>
        <v>50186.076753040004</v>
      </c>
      <c r="N202" s="19">
        <f t="shared" si="34"/>
        <v>99875.261657040013</v>
      </c>
      <c r="O202" s="5">
        <f>VLOOKUP(C202,'Durée de vie utile'!$B$15:$E$18,4,FALSE)</f>
        <v>125</v>
      </c>
      <c r="P202" s="5">
        <f>VLOOKUP(C202,'Durée de vie utile'!$B$15:$E$18,3,FALSE)</f>
        <v>100</v>
      </c>
      <c r="Q202" s="5">
        <f>VLOOKUP(C202,'Durée de vie utile'!$B$26:$E$29,4,FALSE)</f>
        <v>50</v>
      </c>
      <c r="R202" s="5">
        <f>VLOOKUP(C202,'Durée de vie utile'!$B$26:$E$29,3,FALSE)</f>
        <v>30</v>
      </c>
      <c r="S202" s="6">
        <f t="shared" si="35"/>
        <v>998.75261657040016</v>
      </c>
      <c r="T202" s="6">
        <f>(N202/(1+'Autres hypothèses'!$D$5))*('Autres hypothèses'!$D$5/(((1+'Autres hypothèses'!$D$5)^Routes!P202-1)))</f>
        <v>580.04220738748586</v>
      </c>
      <c r="U202" s="5">
        <v>1997</v>
      </c>
      <c r="V202" s="5">
        <f t="shared" si="27"/>
        <v>25</v>
      </c>
      <c r="W202" s="1">
        <f t="shared" si="28"/>
        <v>0.25</v>
      </c>
      <c r="X202" s="3">
        <f t="shared" si="29"/>
        <v>50</v>
      </c>
      <c r="Y202" s="3">
        <f t="shared" si="30"/>
        <v>150</v>
      </c>
    </row>
    <row r="203" spans="1:25" x14ac:dyDescent="0.25">
      <c r="A203" s="20" t="s">
        <v>673</v>
      </c>
      <c r="B203" s="5" t="s">
        <v>1894</v>
      </c>
      <c r="C203" s="5" t="s">
        <v>1895</v>
      </c>
      <c r="D203" s="5"/>
      <c r="E203" s="5"/>
      <c r="F203" s="5"/>
      <c r="G203" s="5">
        <v>798.2</v>
      </c>
      <c r="H203" s="5">
        <v>57</v>
      </c>
      <c r="I203" s="19">
        <f>VLOOKUP("Couche de base",'Taux unitaires'!$B$9:$C$11,2,FALSE)</f>
        <v>200</v>
      </c>
      <c r="J203" s="19">
        <f>VLOOKUP("Revêtement de route",'Taux unitaires'!$B$9:$C$11,2,FALSE)</f>
        <v>101</v>
      </c>
      <c r="K203" s="19">
        <f t="shared" si="31"/>
        <v>159640</v>
      </c>
      <c r="L203" s="19">
        <f t="shared" si="32"/>
        <v>80618.200000000012</v>
      </c>
      <c r="M203" s="19">
        <f t="shared" si="33"/>
        <v>161236.40000000002</v>
      </c>
      <c r="N203" s="19">
        <f t="shared" si="34"/>
        <v>320876.40000000002</v>
      </c>
      <c r="O203" s="5">
        <f>VLOOKUP(C203,'Durée de vie utile'!$B$15:$E$18,4,FALSE)</f>
        <v>125</v>
      </c>
      <c r="P203" s="5">
        <f>VLOOKUP(C203,'Durée de vie utile'!$B$15:$E$18,3,FALSE)</f>
        <v>100</v>
      </c>
      <c r="Q203" s="5">
        <f>VLOOKUP(C203,'Durée de vie utile'!$B$26:$E$29,4,FALSE)</f>
        <v>50</v>
      </c>
      <c r="R203" s="5">
        <f>VLOOKUP(C203,'Durée de vie utile'!$B$26:$E$29,3,FALSE)</f>
        <v>30</v>
      </c>
      <c r="S203" s="6">
        <f t="shared" si="35"/>
        <v>3208.7640000000001</v>
      </c>
      <c r="T203" s="6">
        <f>(N203/(1+'Autres hypothèses'!$D$5))*('Autres hypothèses'!$D$5/(((1+'Autres hypothèses'!$D$5)^Routes!P203-1)))</f>
        <v>1863.5431063366882</v>
      </c>
      <c r="U203" s="5">
        <v>1997</v>
      </c>
      <c r="V203" s="5">
        <f t="shared" si="27"/>
        <v>25</v>
      </c>
      <c r="W203" s="1">
        <f t="shared" si="28"/>
        <v>0.25</v>
      </c>
      <c r="X203" s="3">
        <f t="shared" si="29"/>
        <v>50</v>
      </c>
      <c r="Y203" s="3">
        <f t="shared" si="30"/>
        <v>150</v>
      </c>
    </row>
    <row r="204" spans="1:25" x14ac:dyDescent="0.25">
      <c r="A204" s="20" t="s">
        <v>674</v>
      </c>
      <c r="B204" s="5" t="s">
        <v>1896</v>
      </c>
      <c r="C204" s="5" t="s">
        <v>1897</v>
      </c>
      <c r="D204" s="5"/>
      <c r="E204" s="5"/>
      <c r="F204" s="5"/>
      <c r="G204" s="5">
        <v>791.19482679999896</v>
      </c>
      <c r="H204" s="5">
        <v>87.970136664737694</v>
      </c>
      <c r="I204" s="19">
        <f>VLOOKUP("Couche de base",'Taux unitaires'!$B$9:$C$11,2,FALSE)</f>
        <v>200</v>
      </c>
      <c r="J204" s="19">
        <f>VLOOKUP("Revêtement de route",'Taux unitaires'!$B$9:$C$11,2,FALSE)</f>
        <v>101</v>
      </c>
      <c r="K204" s="19">
        <f t="shared" si="31"/>
        <v>158238.9653599998</v>
      </c>
      <c r="L204" s="19">
        <f t="shared" si="32"/>
        <v>79910.677506799897</v>
      </c>
      <c r="M204" s="19">
        <f t="shared" si="33"/>
        <v>159821.35501359979</v>
      </c>
      <c r="N204" s="19">
        <f t="shared" si="34"/>
        <v>318060.32037359959</v>
      </c>
      <c r="O204" s="5">
        <f>VLOOKUP(C204,'Durée de vie utile'!$B$15:$E$18,4,FALSE)</f>
        <v>125</v>
      </c>
      <c r="P204" s="5">
        <f>VLOOKUP(C204,'Durée de vie utile'!$B$15:$E$18,3,FALSE)</f>
        <v>100</v>
      </c>
      <c r="Q204" s="5">
        <f>VLOOKUP(C204,'Durée de vie utile'!$B$26:$E$29,4,FALSE)</f>
        <v>50</v>
      </c>
      <c r="R204" s="5">
        <f>VLOOKUP(C204,'Durée de vie utile'!$B$26:$E$29,3,FALSE)</f>
        <v>30</v>
      </c>
      <c r="S204" s="6">
        <f t="shared" si="35"/>
        <v>3180.603203735996</v>
      </c>
      <c r="T204" s="6">
        <f>(N204/(1+'Autres hypothèses'!$D$5))*('Autres hypothèses'!$D$5/(((1+'Autres hypothèses'!$D$5)^Routes!P204-1)))</f>
        <v>1847.1882551395488</v>
      </c>
      <c r="U204" s="5">
        <v>1997</v>
      </c>
      <c r="V204" s="5">
        <f t="shared" si="27"/>
        <v>25</v>
      </c>
      <c r="W204" s="1">
        <f t="shared" si="28"/>
        <v>0.25</v>
      </c>
      <c r="X204" s="3">
        <f t="shared" si="29"/>
        <v>50</v>
      </c>
      <c r="Y204" s="3">
        <f t="shared" si="30"/>
        <v>150</v>
      </c>
    </row>
    <row r="205" spans="1:25" x14ac:dyDescent="0.25">
      <c r="A205" s="20" t="s">
        <v>675</v>
      </c>
      <c r="B205" s="5" t="s">
        <v>1898</v>
      </c>
      <c r="C205" s="5" t="s">
        <v>1899</v>
      </c>
      <c r="D205" s="5"/>
      <c r="E205" s="5"/>
      <c r="F205" s="5"/>
      <c r="G205" s="5">
        <v>2889.0804478700002</v>
      </c>
      <c r="H205" s="5">
        <v>222.44563069447</v>
      </c>
      <c r="I205" s="19">
        <f>VLOOKUP("Couche de base",'Taux unitaires'!$B$9:$C$11,2,FALSE)</f>
        <v>200</v>
      </c>
      <c r="J205" s="19">
        <f>VLOOKUP("Revêtement de route",'Taux unitaires'!$B$9:$C$11,2,FALSE)</f>
        <v>101</v>
      </c>
      <c r="K205" s="19">
        <f t="shared" si="31"/>
        <v>577816.08957399998</v>
      </c>
      <c r="L205" s="19">
        <f t="shared" si="32"/>
        <v>291797.12523487001</v>
      </c>
      <c r="M205" s="19">
        <f t="shared" si="33"/>
        <v>583594.25046974001</v>
      </c>
      <c r="N205" s="19">
        <f t="shared" si="34"/>
        <v>1161410.3400437399</v>
      </c>
      <c r="O205" s="5">
        <f>VLOOKUP(C205,'Durée de vie utile'!$B$15:$E$18,4,FALSE)</f>
        <v>125</v>
      </c>
      <c r="P205" s="5">
        <f>VLOOKUP(C205,'Durée de vie utile'!$B$15:$E$18,3,FALSE)</f>
        <v>100</v>
      </c>
      <c r="Q205" s="5">
        <f>VLOOKUP(C205,'Durée de vie utile'!$B$26:$E$29,4,FALSE)</f>
        <v>50</v>
      </c>
      <c r="R205" s="5">
        <f>VLOOKUP(C205,'Durée de vie utile'!$B$26:$E$29,3,FALSE)</f>
        <v>30</v>
      </c>
      <c r="S205" s="6">
        <f t="shared" si="35"/>
        <v>11614.1034004374</v>
      </c>
      <c r="T205" s="6">
        <f>(N205/(1+'Autres hypothèses'!$D$5))*('Autres hypothèses'!$D$5/(((1+'Autres hypothèses'!$D$5)^Routes!P205-1)))</f>
        <v>6745.0838790782382</v>
      </c>
      <c r="U205" s="5">
        <v>1997</v>
      </c>
      <c r="V205" s="5">
        <f t="shared" si="27"/>
        <v>25</v>
      </c>
      <c r="W205" s="1">
        <f t="shared" si="28"/>
        <v>0.25</v>
      </c>
      <c r="X205" s="3">
        <f t="shared" si="29"/>
        <v>50</v>
      </c>
      <c r="Y205" s="3">
        <f t="shared" si="30"/>
        <v>150</v>
      </c>
    </row>
    <row r="206" spans="1:25" x14ac:dyDescent="0.25">
      <c r="A206" s="20" t="s">
        <v>676</v>
      </c>
      <c r="B206" s="5" t="s">
        <v>1900</v>
      </c>
      <c r="C206" s="5" t="s">
        <v>1901</v>
      </c>
      <c r="D206" s="5"/>
      <c r="E206" s="5"/>
      <c r="F206" s="5"/>
      <c r="G206" s="5">
        <v>1993.4</v>
      </c>
      <c r="H206" s="5">
        <v>129.5</v>
      </c>
      <c r="I206" s="19">
        <f>VLOOKUP("Couche de base",'Taux unitaires'!$B$9:$C$11,2,FALSE)</f>
        <v>200</v>
      </c>
      <c r="J206" s="19">
        <f>VLOOKUP("Revêtement de route",'Taux unitaires'!$B$9:$C$11,2,FALSE)</f>
        <v>101</v>
      </c>
      <c r="K206" s="19">
        <f t="shared" si="31"/>
        <v>398680</v>
      </c>
      <c r="L206" s="19">
        <f t="shared" si="32"/>
        <v>201333.40000000002</v>
      </c>
      <c r="M206" s="19">
        <f t="shared" si="33"/>
        <v>402666.80000000005</v>
      </c>
      <c r="N206" s="19">
        <f t="shared" si="34"/>
        <v>801346.8</v>
      </c>
      <c r="O206" s="5">
        <f>VLOOKUP(C206,'Durée de vie utile'!$B$15:$E$18,4,FALSE)</f>
        <v>125</v>
      </c>
      <c r="P206" s="5">
        <f>VLOOKUP(C206,'Durée de vie utile'!$B$15:$E$18,3,FALSE)</f>
        <v>100</v>
      </c>
      <c r="Q206" s="5">
        <f>VLOOKUP(C206,'Durée de vie utile'!$B$26:$E$29,4,FALSE)</f>
        <v>50</v>
      </c>
      <c r="R206" s="5">
        <f>VLOOKUP(C206,'Durée de vie utile'!$B$26:$E$29,3,FALSE)</f>
        <v>30</v>
      </c>
      <c r="S206" s="6">
        <f t="shared" si="35"/>
        <v>8013.4680000000008</v>
      </c>
      <c r="T206" s="6">
        <f>(N206/(1+'Autres hypothèses'!$D$5))*('Autres hypothèses'!$D$5/(((1+'Autres hypothèses'!$D$5)^Routes!P206-1)))</f>
        <v>4653.9549338155275</v>
      </c>
      <c r="U206" s="5">
        <v>2001</v>
      </c>
      <c r="V206" s="5">
        <f t="shared" si="27"/>
        <v>21</v>
      </c>
      <c r="W206" s="1">
        <f t="shared" si="28"/>
        <v>0.21</v>
      </c>
      <c r="X206" s="3">
        <f t="shared" si="29"/>
        <v>42</v>
      </c>
      <c r="Y206" s="3">
        <f t="shared" si="30"/>
        <v>158</v>
      </c>
    </row>
    <row r="207" spans="1:25" x14ac:dyDescent="0.25">
      <c r="A207" s="20" t="s">
        <v>677</v>
      </c>
      <c r="B207" s="5" t="s">
        <v>1902</v>
      </c>
      <c r="C207" s="5" t="s">
        <v>1903</v>
      </c>
      <c r="D207" s="5"/>
      <c r="E207" s="5"/>
      <c r="F207" s="5"/>
      <c r="G207" s="5">
        <v>939.7</v>
      </c>
      <c r="H207" s="5">
        <v>125.3</v>
      </c>
      <c r="I207" s="19">
        <f>VLOOKUP("Couche de base",'Taux unitaires'!$B$9:$C$11,2,FALSE)</f>
        <v>200</v>
      </c>
      <c r="J207" s="19">
        <f>VLOOKUP("Revêtement de route",'Taux unitaires'!$B$9:$C$11,2,FALSE)</f>
        <v>101</v>
      </c>
      <c r="K207" s="19">
        <f t="shared" si="31"/>
        <v>187940</v>
      </c>
      <c r="L207" s="19">
        <f t="shared" si="32"/>
        <v>94909.700000000012</v>
      </c>
      <c r="M207" s="19">
        <f t="shared" si="33"/>
        <v>189819.40000000002</v>
      </c>
      <c r="N207" s="19">
        <f t="shared" si="34"/>
        <v>377759.4</v>
      </c>
      <c r="O207" s="5">
        <f>VLOOKUP(C207,'Durée de vie utile'!$B$15:$E$18,4,FALSE)</f>
        <v>125</v>
      </c>
      <c r="P207" s="5">
        <f>VLOOKUP(C207,'Durée de vie utile'!$B$15:$E$18,3,FALSE)</f>
        <v>100</v>
      </c>
      <c r="Q207" s="5">
        <f>VLOOKUP(C207,'Durée de vie utile'!$B$26:$E$29,4,FALSE)</f>
        <v>50</v>
      </c>
      <c r="R207" s="5">
        <f>VLOOKUP(C207,'Durée de vie utile'!$B$26:$E$29,3,FALSE)</f>
        <v>30</v>
      </c>
      <c r="S207" s="6">
        <f t="shared" si="35"/>
        <v>3777.5940000000001</v>
      </c>
      <c r="T207" s="6">
        <f>(N207/(1+'Autres hypothèses'!$D$5))*('Autres hypothèses'!$D$5/(((1+'Autres hypothèses'!$D$5)^Routes!P207-1)))</f>
        <v>2193.9005976253893</v>
      </c>
      <c r="U207" s="5">
        <v>1998</v>
      </c>
      <c r="V207" s="5">
        <f t="shared" si="27"/>
        <v>24</v>
      </c>
      <c r="W207" s="1">
        <f t="shared" si="28"/>
        <v>0.24</v>
      </c>
      <c r="X207" s="3">
        <f t="shared" si="29"/>
        <v>48</v>
      </c>
      <c r="Y207" s="3">
        <f t="shared" si="30"/>
        <v>152</v>
      </c>
    </row>
    <row r="208" spans="1:25" x14ac:dyDescent="0.25">
      <c r="A208" s="20" t="s">
        <v>678</v>
      </c>
      <c r="B208" s="5" t="s">
        <v>1904</v>
      </c>
      <c r="C208" s="5" t="s">
        <v>1905</v>
      </c>
      <c r="D208" s="5"/>
      <c r="E208" s="5"/>
      <c r="F208" s="5"/>
      <c r="G208" s="5">
        <v>1135.97891421999</v>
      </c>
      <c r="H208" s="5">
        <v>126.305452143344</v>
      </c>
      <c r="I208" s="19">
        <f>VLOOKUP("Couche de base",'Taux unitaires'!$B$9:$C$11,2,FALSE)</f>
        <v>200</v>
      </c>
      <c r="J208" s="19">
        <f>VLOOKUP("Revêtement de route",'Taux unitaires'!$B$9:$C$11,2,FALSE)</f>
        <v>101</v>
      </c>
      <c r="K208" s="19">
        <f t="shared" si="31"/>
        <v>227195.78284399799</v>
      </c>
      <c r="L208" s="19">
        <f t="shared" si="32"/>
        <v>114733.87033621898</v>
      </c>
      <c r="M208" s="19">
        <f t="shared" si="33"/>
        <v>229467.74067243797</v>
      </c>
      <c r="N208" s="19">
        <f t="shared" si="34"/>
        <v>456663.52351643599</v>
      </c>
      <c r="O208" s="5">
        <f>VLOOKUP(C208,'Durée de vie utile'!$B$15:$E$18,4,FALSE)</f>
        <v>125</v>
      </c>
      <c r="P208" s="5">
        <f>VLOOKUP(C208,'Durée de vie utile'!$B$15:$E$18,3,FALSE)</f>
        <v>100</v>
      </c>
      <c r="Q208" s="5">
        <f>VLOOKUP(C208,'Durée de vie utile'!$B$26:$E$29,4,FALSE)</f>
        <v>50</v>
      </c>
      <c r="R208" s="5">
        <f>VLOOKUP(C208,'Durée de vie utile'!$B$26:$E$29,3,FALSE)</f>
        <v>30</v>
      </c>
      <c r="S208" s="6">
        <f t="shared" si="35"/>
        <v>4566.63523516436</v>
      </c>
      <c r="T208" s="6">
        <f>(N208/(1+'Autres hypothèses'!$D$5))*('Autres hypothèses'!$D$5/(((1+'Autres hypothèses'!$D$5)^Routes!P208-1)))</f>
        <v>2652.1494293892483</v>
      </c>
      <c r="U208" s="5">
        <v>2001</v>
      </c>
      <c r="V208" s="5">
        <f t="shared" si="27"/>
        <v>21</v>
      </c>
      <c r="W208" s="1">
        <f t="shared" si="28"/>
        <v>0.21</v>
      </c>
      <c r="X208" s="3">
        <f t="shared" si="29"/>
        <v>42</v>
      </c>
      <c r="Y208" s="3">
        <f t="shared" si="30"/>
        <v>158</v>
      </c>
    </row>
    <row r="209" spans="1:25" x14ac:dyDescent="0.25">
      <c r="A209" s="20" t="s">
        <v>679</v>
      </c>
      <c r="B209" s="5" t="s">
        <v>1906</v>
      </c>
      <c r="C209" s="5" t="s">
        <v>1907</v>
      </c>
      <c r="D209" s="5"/>
      <c r="E209" s="5"/>
      <c r="F209" s="5"/>
      <c r="G209" s="5">
        <v>1211.5</v>
      </c>
      <c r="H209" s="5">
        <v>149.4</v>
      </c>
      <c r="I209" s="19">
        <f>VLOOKUP("Couche de base",'Taux unitaires'!$B$9:$C$11,2,FALSE)</f>
        <v>200</v>
      </c>
      <c r="J209" s="19">
        <f>VLOOKUP("Revêtement de route",'Taux unitaires'!$B$9:$C$11,2,FALSE)</f>
        <v>101</v>
      </c>
      <c r="K209" s="19">
        <f t="shared" si="31"/>
        <v>242300</v>
      </c>
      <c r="L209" s="19">
        <f t="shared" si="32"/>
        <v>122361.5</v>
      </c>
      <c r="M209" s="19">
        <f t="shared" si="33"/>
        <v>244723</v>
      </c>
      <c r="N209" s="19">
        <f t="shared" si="34"/>
        <v>487023</v>
      </c>
      <c r="O209" s="5">
        <f>VLOOKUP(C209,'Durée de vie utile'!$B$15:$E$18,4,FALSE)</f>
        <v>125</v>
      </c>
      <c r="P209" s="5">
        <f>VLOOKUP(C209,'Durée de vie utile'!$B$15:$E$18,3,FALSE)</f>
        <v>100</v>
      </c>
      <c r="Q209" s="5">
        <f>VLOOKUP(C209,'Durée de vie utile'!$B$26:$E$29,4,FALSE)</f>
        <v>50</v>
      </c>
      <c r="R209" s="5">
        <f>VLOOKUP(C209,'Durée de vie utile'!$B$26:$E$29,3,FALSE)</f>
        <v>30</v>
      </c>
      <c r="S209" s="6">
        <f t="shared" si="35"/>
        <v>4870.2299999999996</v>
      </c>
      <c r="T209" s="6">
        <f>(N209/(1+'Autres hypothèses'!$D$5))*('Autres hypothèses'!$D$5/(((1+'Autres hypothèses'!$D$5)^Routes!P209-1)))</f>
        <v>2828.467142729764</v>
      </c>
      <c r="U209" s="5">
        <v>1998</v>
      </c>
      <c r="V209" s="5">
        <f t="shared" si="27"/>
        <v>24</v>
      </c>
      <c r="W209" s="1">
        <f t="shared" si="28"/>
        <v>0.24</v>
      </c>
      <c r="X209" s="3">
        <f t="shared" si="29"/>
        <v>48</v>
      </c>
      <c r="Y209" s="3">
        <f t="shared" si="30"/>
        <v>152</v>
      </c>
    </row>
    <row r="210" spans="1:25" x14ac:dyDescent="0.25">
      <c r="A210" s="20" t="s">
        <v>680</v>
      </c>
      <c r="B210" s="5" t="s">
        <v>1908</v>
      </c>
      <c r="C210" s="5" t="s">
        <v>1909</v>
      </c>
      <c r="D210" s="5"/>
      <c r="E210" s="5"/>
      <c r="F210" s="5"/>
      <c r="G210" s="5">
        <v>451.06199680999902</v>
      </c>
      <c r="H210" s="5">
        <v>47.419338136191897</v>
      </c>
      <c r="I210" s="19">
        <f>VLOOKUP("Couche de base",'Taux unitaires'!$B$9:$C$11,2,FALSE)</f>
        <v>200</v>
      </c>
      <c r="J210" s="19">
        <f>VLOOKUP("Revêtement de route",'Taux unitaires'!$B$9:$C$11,2,FALSE)</f>
        <v>101</v>
      </c>
      <c r="K210" s="19">
        <f t="shared" si="31"/>
        <v>90212.399361999807</v>
      </c>
      <c r="L210" s="19">
        <f t="shared" si="32"/>
        <v>45557.261677809904</v>
      </c>
      <c r="M210" s="19">
        <f t="shared" si="33"/>
        <v>91114.523355619807</v>
      </c>
      <c r="N210" s="19">
        <f t="shared" si="34"/>
        <v>181326.92271761963</v>
      </c>
      <c r="O210" s="5">
        <f>VLOOKUP(C210,'Durée de vie utile'!$B$15:$E$18,4,FALSE)</f>
        <v>125</v>
      </c>
      <c r="P210" s="5">
        <f>VLOOKUP(C210,'Durée de vie utile'!$B$15:$E$18,3,FALSE)</f>
        <v>100</v>
      </c>
      <c r="Q210" s="5">
        <f>VLOOKUP(C210,'Durée de vie utile'!$B$26:$E$29,4,FALSE)</f>
        <v>50</v>
      </c>
      <c r="R210" s="5">
        <f>VLOOKUP(C210,'Durée de vie utile'!$B$26:$E$29,3,FALSE)</f>
        <v>30</v>
      </c>
      <c r="S210" s="6">
        <f t="shared" si="35"/>
        <v>1813.2692271761962</v>
      </c>
      <c r="T210" s="6">
        <f>(N210/(1+'Autres hypothèses'!$D$5))*('Autres hypothèses'!$D$5/(((1+'Autres hypothèses'!$D$5)^Routes!P210-1)))</f>
        <v>1053.0862875040527</v>
      </c>
      <c r="U210" s="5">
        <v>1998</v>
      </c>
      <c r="V210" s="5">
        <f t="shared" si="27"/>
        <v>24</v>
      </c>
      <c r="W210" s="1">
        <f t="shared" si="28"/>
        <v>0.24</v>
      </c>
      <c r="X210" s="3">
        <f t="shared" si="29"/>
        <v>48</v>
      </c>
      <c r="Y210" s="3">
        <f t="shared" si="30"/>
        <v>152</v>
      </c>
    </row>
    <row r="211" spans="1:25" x14ac:dyDescent="0.25">
      <c r="A211" s="20" t="s">
        <v>681</v>
      </c>
      <c r="B211" s="5" t="s">
        <v>1910</v>
      </c>
      <c r="C211" s="5" t="s">
        <v>1911</v>
      </c>
      <c r="D211" s="5"/>
      <c r="E211" s="5"/>
      <c r="F211" s="5"/>
      <c r="G211" s="5">
        <v>971.51686205999897</v>
      </c>
      <c r="H211" s="5">
        <v>90.785621316078704</v>
      </c>
      <c r="I211" s="19">
        <f>VLOOKUP("Couche de base",'Taux unitaires'!$B$9:$C$11,2,FALSE)</f>
        <v>200</v>
      </c>
      <c r="J211" s="19">
        <f>VLOOKUP("Revêtement de route",'Taux unitaires'!$B$9:$C$11,2,FALSE)</f>
        <v>101</v>
      </c>
      <c r="K211" s="19">
        <f t="shared" si="31"/>
        <v>194303.37241199979</v>
      </c>
      <c r="L211" s="19">
        <f t="shared" si="32"/>
        <v>98123.203068059898</v>
      </c>
      <c r="M211" s="19">
        <f t="shared" si="33"/>
        <v>196246.4061361198</v>
      </c>
      <c r="N211" s="19">
        <f t="shared" si="34"/>
        <v>390549.77854811959</v>
      </c>
      <c r="O211" s="5">
        <f>VLOOKUP(C211,'Durée de vie utile'!$B$15:$E$18,4,FALSE)</f>
        <v>125</v>
      </c>
      <c r="P211" s="5">
        <f>VLOOKUP(C211,'Durée de vie utile'!$B$15:$E$18,3,FALSE)</f>
        <v>100</v>
      </c>
      <c r="Q211" s="5">
        <f>VLOOKUP(C211,'Durée de vie utile'!$B$26:$E$29,4,FALSE)</f>
        <v>50</v>
      </c>
      <c r="R211" s="5">
        <f>VLOOKUP(C211,'Durée de vie utile'!$B$26:$E$29,3,FALSE)</f>
        <v>30</v>
      </c>
      <c r="S211" s="6">
        <f t="shared" si="35"/>
        <v>3905.4977854811959</v>
      </c>
      <c r="T211" s="6">
        <f>(N211/(1+'Autres hypothèses'!$D$5))*('Autres hypothèses'!$D$5/(((1+'Autres hypothèses'!$D$5)^Routes!P211-1)))</f>
        <v>2268.1828501400178</v>
      </c>
      <c r="U211" s="5">
        <v>2001</v>
      </c>
      <c r="V211" s="5">
        <f t="shared" si="27"/>
        <v>21</v>
      </c>
      <c r="W211" s="1">
        <f t="shared" si="28"/>
        <v>0.21</v>
      </c>
      <c r="X211" s="3">
        <f t="shared" si="29"/>
        <v>42</v>
      </c>
      <c r="Y211" s="3">
        <f t="shared" si="30"/>
        <v>158</v>
      </c>
    </row>
    <row r="212" spans="1:25" x14ac:dyDescent="0.25">
      <c r="A212" s="20" t="s">
        <v>682</v>
      </c>
      <c r="B212" s="5" t="s">
        <v>1912</v>
      </c>
      <c r="C212" s="5" t="s">
        <v>1913</v>
      </c>
      <c r="D212" s="5"/>
      <c r="E212" s="5"/>
      <c r="F212" s="5"/>
      <c r="G212" s="5">
        <v>640.42417751000005</v>
      </c>
      <c r="H212" s="5">
        <v>92.946517830625496</v>
      </c>
      <c r="I212" s="19">
        <f>VLOOKUP("Couche de base",'Taux unitaires'!$B$9:$C$11,2,FALSE)</f>
        <v>200</v>
      </c>
      <c r="J212" s="19">
        <f>VLOOKUP("Revêtement de route",'Taux unitaires'!$B$9:$C$11,2,FALSE)</f>
        <v>101</v>
      </c>
      <c r="K212" s="19">
        <f t="shared" si="31"/>
        <v>128084.83550200002</v>
      </c>
      <c r="L212" s="19">
        <f t="shared" si="32"/>
        <v>64682.841928510003</v>
      </c>
      <c r="M212" s="19">
        <f t="shared" si="33"/>
        <v>129365.68385702001</v>
      </c>
      <c r="N212" s="19">
        <f t="shared" si="34"/>
        <v>257450.51935902002</v>
      </c>
      <c r="O212" s="5">
        <f>VLOOKUP(C212,'Durée de vie utile'!$B$15:$E$18,4,FALSE)</f>
        <v>125</v>
      </c>
      <c r="P212" s="5">
        <f>VLOOKUP(C212,'Durée de vie utile'!$B$15:$E$18,3,FALSE)</f>
        <v>100</v>
      </c>
      <c r="Q212" s="5">
        <f>VLOOKUP(C212,'Durée de vie utile'!$B$26:$E$29,4,FALSE)</f>
        <v>50</v>
      </c>
      <c r="R212" s="5">
        <f>VLOOKUP(C212,'Durée de vie utile'!$B$26:$E$29,3,FALSE)</f>
        <v>30</v>
      </c>
      <c r="S212" s="6">
        <f t="shared" si="35"/>
        <v>2574.5051935902002</v>
      </c>
      <c r="T212" s="6">
        <f>(N212/(1+'Autres hypothèses'!$D$5))*('Autres hypothèses'!$D$5/(((1+'Autres hypothèses'!$D$5)^Routes!P212-1)))</f>
        <v>1495.1867465924631</v>
      </c>
      <c r="U212" s="5">
        <v>2001</v>
      </c>
      <c r="V212" s="5">
        <f t="shared" si="27"/>
        <v>21</v>
      </c>
      <c r="W212" s="1">
        <f t="shared" si="28"/>
        <v>0.21</v>
      </c>
      <c r="X212" s="3">
        <f t="shared" si="29"/>
        <v>42</v>
      </c>
      <c r="Y212" s="3">
        <f t="shared" si="30"/>
        <v>158</v>
      </c>
    </row>
    <row r="213" spans="1:25" x14ac:dyDescent="0.25">
      <c r="A213" s="20" t="s">
        <v>683</v>
      </c>
      <c r="B213" s="5" t="s">
        <v>1914</v>
      </c>
      <c r="C213" s="5" t="s">
        <v>1915</v>
      </c>
      <c r="D213" s="5"/>
      <c r="E213" s="5"/>
      <c r="F213" s="5"/>
      <c r="G213" s="5">
        <v>1049.8</v>
      </c>
      <c r="H213" s="5">
        <v>129.5</v>
      </c>
      <c r="I213" s="19">
        <f>VLOOKUP("Couche de base",'Taux unitaires'!$B$9:$C$11,2,FALSE)</f>
        <v>200</v>
      </c>
      <c r="J213" s="19">
        <f>VLOOKUP("Revêtement de route",'Taux unitaires'!$B$9:$C$11,2,FALSE)</f>
        <v>101</v>
      </c>
      <c r="K213" s="19">
        <f t="shared" si="31"/>
        <v>209960</v>
      </c>
      <c r="L213" s="19">
        <f t="shared" si="32"/>
        <v>106029.79999999999</v>
      </c>
      <c r="M213" s="19">
        <f t="shared" si="33"/>
        <v>212059.59999999998</v>
      </c>
      <c r="N213" s="19">
        <f t="shared" si="34"/>
        <v>422019.6</v>
      </c>
      <c r="O213" s="5">
        <f>VLOOKUP(C213,'Durée de vie utile'!$B$15:$E$18,4,FALSE)</f>
        <v>125</v>
      </c>
      <c r="P213" s="5">
        <f>VLOOKUP(C213,'Durée de vie utile'!$B$15:$E$18,3,FALSE)</f>
        <v>100</v>
      </c>
      <c r="Q213" s="5">
        <f>VLOOKUP(C213,'Durée de vie utile'!$B$26:$E$29,4,FALSE)</f>
        <v>50</v>
      </c>
      <c r="R213" s="5">
        <f>VLOOKUP(C213,'Durée de vie utile'!$B$26:$E$29,3,FALSE)</f>
        <v>30</v>
      </c>
      <c r="S213" s="6">
        <f t="shared" si="35"/>
        <v>4220.1959999999999</v>
      </c>
      <c r="T213" s="6">
        <f>(N213/(1+'Autres hypothèses'!$D$5))*('Autres hypothèses'!$D$5/(((1+'Autres hypothèses'!$D$5)^Routes!P213-1)))</f>
        <v>2450.9490767129228</v>
      </c>
      <c r="U213" s="5">
        <v>2001</v>
      </c>
      <c r="V213" s="5">
        <f t="shared" si="27"/>
        <v>21</v>
      </c>
      <c r="W213" s="1">
        <f t="shared" si="28"/>
        <v>0.21</v>
      </c>
      <c r="X213" s="3">
        <f t="shared" si="29"/>
        <v>42</v>
      </c>
      <c r="Y213" s="3">
        <f t="shared" si="30"/>
        <v>158</v>
      </c>
    </row>
    <row r="214" spans="1:25" x14ac:dyDescent="0.25">
      <c r="A214" s="20" t="s">
        <v>684</v>
      </c>
      <c r="B214" s="5" t="s">
        <v>1916</v>
      </c>
      <c r="C214" s="5" t="s">
        <v>1917</v>
      </c>
      <c r="D214" s="5"/>
      <c r="E214" s="5"/>
      <c r="F214" s="5"/>
      <c r="G214" s="5">
        <v>611.16443606999906</v>
      </c>
      <c r="H214" s="5">
        <v>87.157363080579202</v>
      </c>
      <c r="I214" s="19">
        <f>VLOOKUP("Couche de base",'Taux unitaires'!$B$9:$C$11,2,FALSE)</f>
        <v>200</v>
      </c>
      <c r="J214" s="19">
        <f>VLOOKUP("Revêtement de route",'Taux unitaires'!$B$9:$C$11,2,FALSE)</f>
        <v>101</v>
      </c>
      <c r="K214" s="19">
        <f t="shared" si="31"/>
        <v>122232.88721399981</v>
      </c>
      <c r="L214" s="19">
        <f t="shared" si="32"/>
        <v>61727.608043069908</v>
      </c>
      <c r="M214" s="19">
        <f t="shared" si="33"/>
        <v>123455.21608613982</v>
      </c>
      <c r="N214" s="19">
        <f t="shared" si="34"/>
        <v>245688.10330013963</v>
      </c>
      <c r="O214" s="5">
        <f>VLOOKUP(C214,'Durée de vie utile'!$B$15:$E$18,4,FALSE)</f>
        <v>125</v>
      </c>
      <c r="P214" s="5">
        <f>VLOOKUP(C214,'Durée de vie utile'!$B$15:$E$18,3,FALSE)</f>
        <v>100</v>
      </c>
      <c r="Q214" s="5">
        <f>VLOOKUP(C214,'Durée de vie utile'!$B$26:$E$29,4,FALSE)</f>
        <v>50</v>
      </c>
      <c r="R214" s="5">
        <f>VLOOKUP(C214,'Durée de vie utile'!$B$26:$E$29,3,FALSE)</f>
        <v>30</v>
      </c>
      <c r="S214" s="6">
        <f t="shared" si="35"/>
        <v>2456.8810330013962</v>
      </c>
      <c r="T214" s="6">
        <f>(N214/(1+'Autres hypothèses'!$D$5))*('Autres hypothèses'!$D$5/(((1+'Autres hypothèses'!$D$5)^Routes!P214-1)))</f>
        <v>1426.8745573495319</v>
      </c>
      <c r="U214" s="5">
        <v>1999</v>
      </c>
      <c r="V214" s="5">
        <f t="shared" si="27"/>
        <v>23</v>
      </c>
      <c r="W214" s="1">
        <f t="shared" si="28"/>
        <v>0.23</v>
      </c>
      <c r="X214" s="3">
        <f t="shared" si="29"/>
        <v>46</v>
      </c>
      <c r="Y214" s="3">
        <f t="shared" si="30"/>
        <v>154</v>
      </c>
    </row>
    <row r="215" spans="1:25" x14ac:dyDescent="0.25">
      <c r="A215" s="20" t="s">
        <v>685</v>
      </c>
      <c r="B215" s="5" t="s">
        <v>1918</v>
      </c>
      <c r="C215" s="5" t="s">
        <v>1919</v>
      </c>
      <c r="D215" s="5"/>
      <c r="E215" s="5"/>
      <c r="F215" s="5"/>
      <c r="G215" s="5">
        <v>963.94127160000005</v>
      </c>
      <c r="H215" s="5">
        <v>96.394127159869598</v>
      </c>
      <c r="I215" s="19">
        <f>VLOOKUP("Couche de base",'Taux unitaires'!$B$9:$C$11,2,FALSE)</f>
        <v>200</v>
      </c>
      <c r="J215" s="19">
        <f>VLOOKUP("Revêtement de route",'Taux unitaires'!$B$9:$C$11,2,FALSE)</f>
        <v>101</v>
      </c>
      <c r="K215" s="19">
        <f t="shared" si="31"/>
        <v>192788.25432000001</v>
      </c>
      <c r="L215" s="19">
        <f t="shared" si="32"/>
        <v>97358.068431600012</v>
      </c>
      <c r="M215" s="19">
        <f t="shared" si="33"/>
        <v>194716.13686320002</v>
      </c>
      <c r="N215" s="19">
        <f t="shared" si="34"/>
        <v>387504.39118320006</v>
      </c>
      <c r="O215" s="5">
        <f>VLOOKUP(C215,'Durée de vie utile'!$B$15:$E$18,4,FALSE)</f>
        <v>125</v>
      </c>
      <c r="P215" s="5">
        <f>VLOOKUP(C215,'Durée de vie utile'!$B$15:$E$18,3,FALSE)</f>
        <v>100</v>
      </c>
      <c r="Q215" s="5">
        <f>VLOOKUP(C215,'Durée de vie utile'!$B$26:$E$29,4,FALSE)</f>
        <v>50</v>
      </c>
      <c r="R215" s="5">
        <f>VLOOKUP(C215,'Durée de vie utile'!$B$26:$E$29,3,FALSE)</f>
        <v>30</v>
      </c>
      <c r="S215" s="6">
        <f t="shared" si="35"/>
        <v>3875.0439118320005</v>
      </c>
      <c r="T215" s="6">
        <f>(N215/(1+'Autres hypothèses'!$D$5))*('Autres hypothèses'!$D$5/(((1+'Autres hypothèses'!$D$5)^Routes!P215-1)))</f>
        <v>2250.496256080683</v>
      </c>
      <c r="U215" s="5">
        <v>1999</v>
      </c>
      <c r="V215" s="5">
        <f t="shared" si="27"/>
        <v>23</v>
      </c>
      <c r="W215" s="1">
        <f t="shared" si="28"/>
        <v>0.23</v>
      </c>
      <c r="X215" s="3">
        <f t="shared" si="29"/>
        <v>46</v>
      </c>
      <c r="Y215" s="3">
        <f t="shared" si="30"/>
        <v>154</v>
      </c>
    </row>
    <row r="216" spans="1:25" x14ac:dyDescent="0.25">
      <c r="A216" s="20" t="s">
        <v>686</v>
      </c>
      <c r="B216" s="5" t="s">
        <v>1920</v>
      </c>
      <c r="C216" s="5" t="s">
        <v>1921</v>
      </c>
      <c r="D216" s="5"/>
      <c r="E216" s="5"/>
      <c r="F216" s="5"/>
      <c r="G216" s="5">
        <v>526.1</v>
      </c>
      <c r="H216" s="5">
        <v>53.8</v>
      </c>
      <c r="I216" s="19">
        <f>VLOOKUP("Couche de base",'Taux unitaires'!$B$9:$C$11,2,FALSE)</f>
        <v>200</v>
      </c>
      <c r="J216" s="19">
        <f>VLOOKUP("Revêtement de route",'Taux unitaires'!$B$9:$C$11,2,FALSE)</f>
        <v>101</v>
      </c>
      <c r="K216" s="19">
        <f t="shared" si="31"/>
        <v>105220</v>
      </c>
      <c r="L216" s="19">
        <f t="shared" si="32"/>
        <v>53136.100000000006</v>
      </c>
      <c r="M216" s="19">
        <f t="shared" si="33"/>
        <v>106272.20000000001</v>
      </c>
      <c r="N216" s="19">
        <f t="shared" si="34"/>
        <v>211492.2</v>
      </c>
      <c r="O216" s="5">
        <f>VLOOKUP(C216,'Durée de vie utile'!$B$15:$E$18,4,FALSE)</f>
        <v>125</v>
      </c>
      <c r="P216" s="5">
        <f>VLOOKUP(C216,'Durée de vie utile'!$B$15:$E$18,3,FALSE)</f>
        <v>100</v>
      </c>
      <c r="Q216" s="5">
        <f>VLOOKUP(C216,'Durée de vie utile'!$B$26:$E$29,4,FALSE)</f>
        <v>50</v>
      </c>
      <c r="R216" s="5">
        <f>VLOOKUP(C216,'Durée de vie utile'!$B$26:$E$29,3,FALSE)</f>
        <v>30</v>
      </c>
      <c r="S216" s="6">
        <f t="shared" si="35"/>
        <v>2114.922</v>
      </c>
      <c r="T216" s="6">
        <f>(N216/(1+'Autres hypothèses'!$D$5))*('Autres hypothèses'!$D$5/(((1+'Autres hypothèses'!$D$5)^Routes!P216-1)))</f>
        <v>1228.2761566571432</v>
      </c>
      <c r="U216" s="5">
        <v>1999</v>
      </c>
      <c r="V216" s="5">
        <f t="shared" si="27"/>
        <v>23</v>
      </c>
      <c r="W216" s="1">
        <f t="shared" si="28"/>
        <v>0.23</v>
      </c>
      <c r="X216" s="3">
        <f t="shared" si="29"/>
        <v>46</v>
      </c>
      <c r="Y216" s="3">
        <f t="shared" si="30"/>
        <v>154</v>
      </c>
    </row>
    <row r="217" spans="1:25" x14ac:dyDescent="0.25">
      <c r="A217" s="20" t="s">
        <v>687</v>
      </c>
      <c r="B217" s="5" t="s">
        <v>1922</v>
      </c>
      <c r="C217" s="5" t="s">
        <v>1923</v>
      </c>
      <c r="D217" s="5"/>
      <c r="E217" s="5"/>
      <c r="F217" s="5"/>
      <c r="G217" s="5">
        <v>3211.7</v>
      </c>
      <c r="H217" s="5">
        <v>178.5</v>
      </c>
      <c r="I217" s="19">
        <f>VLOOKUP("Couche de base",'Taux unitaires'!$B$9:$C$11,2,FALSE)</f>
        <v>200</v>
      </c>
      <c r="J217" s="19">
        <f>VLOOKUP("Revêtement de route",'Taux unitaires'!$B$9:$C$11,2,FALSE)</f>
        <v>101</v>
      </c>
      <c r="K217" s="19">
        <f t="shared" si="31"/>
        <v>642340</v>
      </c>
      <c r="L217" s="19">
        <f t="shared" si="32"/>
        <v>324381.69999999995</v>
      </c>
      <c r="M217" s="19">
        <f t="shared" si="33"/>
        <v>648763.39999999991</v>
      </c>
      <c r="N217" s="19">
        <f t="shared" si="34"/>
        <v>1291103.3999999999</v>
      </c>
      <c r="O217" s="5">
        <f>VLOOKUP(C217,'Durée de vie utile'!$B$15:$E$18,4,FALSE)</f>
        <v>125</v>
      </c>
      <c r="P217" s="5">
        <f>VLOOKUP(C217,'Durée de vie utile'!$B$15:$E$18,3,FALSE)</f>
        <v>100</v>
      </c>
      <c r="Q217" s="5">
        <f>VLOOKUP(C217,'Durée de vie utile'!$B$26:$E$29,4,FALSE)</f>
        <v>50</v>
      </c>
      <c r="R217" s="5">
        <f>VLOOKUP(C217,'Durée de vie utile'!$B$26:$E$29,3,FALSE)</f>
        <v>30</v>
      </c>
      <c r="S217" s="6">
        <f t="shared" si="35"/>
        <v>12911.034</v>
      </c>
      <c r="T217" s="6">
        <f>(N217/(1+'Autres hypothèses'!$D$5))*('Autres hypothèses'!$D$5/(((1+'Autres hypothèses'!$D$5)^Routes!P217-1)))</f>
        <v>7498.2979135824862</v>
      </c>
      <c r="U217" s="5">
        <v>1999</v>
      </c>
      <c r="V217" s="5">
        <f t="shared" si="27"/>
        <v>23</v>
      </c>
      <c r="W217" s="1">
        <f t="shared" si="28"/>
        <v>0.23</v>
      </c>
      <c r="X217" s="3">
        <f t="shared" si="29"/>
        <v>46</v>
      </c>
      <c r="Y217" s="3">
        <f t="shared" si="30"/>
        <v>154</v>
      </c>
    </row>
    <row r="218" spans="1:25" x14ac:dyDescent="0.25">
      <c r="A218" s="20" t="s">
        <v>688</v>
      </c>
      <c r="B218" s="5" t="s">
        <v>1924</v>
      </c>
      <c r="C218" s="5" t="s">
        <v>1925</v>
      </c>
      <c r="D218" s="5"/>
      <c r="E218" s="5"/>
      <c r="F218" s="5"/>
      <c r="G218" s="5">
        <v>1111.1839296000001</v>
      </c>
      <c r="H218" s="5">
        <v>123.548586057471</v>
      </c>
      <c r="I218" s="19">
        <f>VLOOKUP("Couche de base",'Taux unitaires'!$B$9:$C$11,2,FALSE)</f>
        <v>200</v>
      </c>
      <c r="J218" s="19">
        <f>VLOOKUP("Revêtement de route",'Taux unitaires'!$B$9:$C$11,2,FALSE)</f>
        <v>101</v>
      </c>
      <c r="K218" s="19">
        <f t="shared" si="31"/>
        <v>222236.78592000002</v>
      </c>
      <c r="L218" s="19">
        <f t="shared" si="32"/>
        <v>112229.57688960001</v>
      </c>
      <c r="M218" s="19">
        <f t="shared" si="33"/>
        <v>224459.15377920002</v>
      </c>
      <c r="N218" s="19">
        <f t="shared" si="34"/>
        <v>446695.93969920004</v>
      </c>
      <c r="O218" s="5">
        <f>VLOOKUP(C218,'Durée de vie utile'!$B$15:$E$18,4,FALSE)</f>
        <v>100</v>
      </c>
      <c r="P218" s="5">
        <f>VLOOKUP(C218,'Durée de vie utile'!$B$15:$E$18,3,FALSE)</f>
        <v>80</v>
      </c>
      <c r="Q218" s="5">
        <f>VLOOKUP(C218,'Durée de vie utile'!$B$26:$E$29,4,FALSE)</f>
        <v>40</v>
      </c>
      <c r="R218" s="5">
        <f>VLOOKUP(C218,'Durée de vie utile'!$B$26:$E$29,3,FALSE)</f>
        <v>25</v>
      </c>
      <c r="S218" s="6">
        <f t="shared" si="35"/>
        <v>5583.6992462400003</v>
      </c>
      <c r="T218" s="6">
        <f>(N218/(1+'Autres hypothèses'!$D$5))*('Autres hypothèses'!$D$5/(((1+'Autres hypothèses'!$D$5)^Routes!P218-1)))</f>
        <v>3634.9772023304754</v>
      </c>
      <c r="U218" s="5">
        <v>2000</v>
      </c>
      <c r="V218" s="5">
        <f t="shared" si="27"/>
        <v>22</v>
      </c>
      <c r="W218" s="1">
        <f t="shared" si="28"/>
        <v>0.27500000000000002</v>
      </c>
      <c r="X218" s="3">
        <f t="shared" si="29"/>
        <v>55.000000000000007</v>
      </c>
      <c r="Y218" s="3">
        <f t="shared" si="30"/>
        <v>145</v>
      </c>
    </row>
    <row r="219" spans="1:25" x14ac:dyDescent="0.25">
      <c r="A219" s="20" t="s">
        <v>689</v>
      </c>
      <c r="B219" s="5" t="s">
        <v>1926</v>
      </c>
      <c r="C219" s="5" t="s">
        <v>1927</v>
      </c>
      <c r="D219" s="5"/>
      <c r="E219" s="5"/>
      <c r="F219" s="5"/>
      <c r="G219" s="5">
        <v>3587.4</v>
      </c>
      <c r="H219" s="5">
        <v>256.39999999999998</v>
      </c>
      <c r="I219" s="19">
        <f>VLOOKUP("Couche de base",'Taux unitaires'!$B$9:$C$11,2,FALSE)</f>
        <v>200</v>
      </c>
      <c r="J219" s="19">
        <f>VLOOKUP("Revêtement de route",'Taux unitaires'!$B$9:$C$11,2,FALSE)</f>
        <v>101</v>
      </c>
      <c r="K219" s="19">
        <f t="shared" si="31"/>
        <v>717480</v>
      </c>
      <c r="L219" s="19">
        <f t="shared" si="32"/>
        <v>362327.4</v>
      </c>
      <c r="M219" s="19">
        <f t="shared" si="33"/>
        <v>724654.8</v>
      </c>
      <c r="N219" s="19">
        <f t="shared" si="34"/>
        <v>1442134.8</v>
      </c>
      <c r="O219" s="5">
        <f>VLOOKUP(C219,'Durée de vie utile'!$B$15:$E$18,4,FALSE)</f>
        <v>100</v>
      </c>
      <c r="P219" s="5">
        <f>VLOOKUP(C219,'Durée de vie utile'!$B$15:$E$18,3,FALSE)</f>
        <v>80</v>
      </c>
      <c r="Q219" s="5">
        <f>VLOOKUP(C219,'Durée de vie utile'!$B$26:$E$29,4,FALSE)</f>
        <v>40</v>
      </c>
      <c r="R219" s="5">
        <f>VLOOKUP(C219,'Durée de vie utile'!$B$26:$E$29,3,FALSE)</f>
        <v>25</v>
      </c>
      <c r="S219" s="6">
        <f t="shared" si="35"/>
        <v>18026.685000000001</v>
      </c>
      <c r="T219" s="6">
        <f>(N219/(1+'Autres hypothèses'!$D$5))*('Autres hypothèses'!$D$5/(((1+'Autres hypothèses'!$D$5)^Routes!P219-1)))</f>
        <v>11735.336399559414</v>
      </c>
      <c r="U219" s="5">
        <v>2001</v>
      </c>
      <c r="V219" s="5">
        <f t="shared" si="27"/>
        <v>21</v>
      </c>
      <c r="W219" s="1">
        <f t="shared" si="28"/>
        <v>0.26250000000000001</v>
      </c>
      <c r="X219" s="3">
        <f t="shared" si="29"/>
        <v>52.5</v>
      </c>
      <c r="Y219" s="3">
        <f t="shared" si="30"/>
        <v>147.5</v>
      </c>
    </row>
    <row r="220" spans="1:25" x14ac:dyDescent="0.25">
      <c r="A220" s="20" t="s">
        <v>690</v>
      </c>
      <c r="B220" s="5" t="s">
        <v>1928</v>
      </c>
      <c r="C220" s="5" t="s">
        <v>1929</v>
      </c>
      <c r="D220" s="5"/>
      <c r="E220" s="5"/>
      <c r="F220" s="5"/>
      <c r="G220" s="5">
        <v>1331.6</v>
      </c>
      <c r="H220" s="5">
        <v>92.5</v>
      </c>
      <c r="I220" s="19">
        <f>VLOOKUP("Couche de base",'Taux unitaires'!$B$9:$C$11,2,FALSE)</f>
        <v>200</v>
      </c>
      <c r="J220" s="19">
        <f>VLOOKUP("Revêtement de route",'Taux unitaires'!$B$9:$C$11,2,FALSE)</f>
        <v>101</v>
      </c>
      <c r="K220" s="19">
        <f t="shared" si="31"/>
        <v>266320</v>
      </c>
      <c r="L220" s="19">
        <f t="shared" si="32"/>
        <v>134491.59999999998</v>
      </c>
      <c r="M220" s="19">
        <f t="shared" si="33"/>
        <v>268983.19999999995</v>
      </c>
      <c r="N220" s="19">
        <f t="shared" si="34"/>
        <v>535303.19999999995</v>
      </c>
      <c r="O220" s="5">
        <f>VLOOKUP(C220,'Durée de vie utile'!$B$15:$E$18,4,FALSE)</f>
        <v>125</v>
      </c>
      <c r="P220" s="5">
        <f>VLOOKUP(C220,'Durée de vie utile'!$B$15:$E$18,3,FALSE)</f>
        <v>100</v>
      </c>
      <c r="Q220" s="5">
        <f>VLOOKUP(C220,'Durée de vie utile'!$B$26:$E$29,4,FALSE)</f>
        <v>50</v>
      </c>
      <c r="R220" s="5">
        <f>VLOOKUP(C220,'Durée de vie utile'!$B$26:$E$29,3,FALSE)</f>
        <v>30</v>
      </c>
      <c r="S220" s="6">
        <f t="shared" si="35"/>
        <v>5353.0319999999992</v>
      </c>
      <c r="T220" s="6">
        <f>(N220/(1+'Autres hypothèses'!$D$5))*('Autres hypothèses'!$D$5/(((1+'Autres hypothèses'!$D$5)^Routes!P220-1)))</f>
        <v>3108.8624409896433</v>
      </c>
      <c r="U220" s="5">
        <v>2001</v>
      </c>
      <c r="V220" s="5">
        <f t="shared" si="27"/>
        <v>21</v>
      </c>
      <c r="W220" s="1">
        <f t="shared" si="28"/>
        <v>0.21</v>
      </c>
      <c r="X220" s="3">
        <f t="shared" si="29"/>
        <v>42</v>
      </c>
      <c r="Y220" s="3">
        <f t="shared" si="30"/>
        <v>158</v>
      </c>
    </row>
    <row r="221" spans="1:25" x14ac:dyDescent="0.25">
      <c r="A221" s="20" t="s">
        <v>691</v>
      </c>
      <c r="B221" s="5" t="s">
        <v>1930</v>
      </c>
      <c r="C221" s="5" t="s">
        <v>1931</v>
      </c>
      <c r="D221" s="5"/>
      <c r="E221" s="5"/>
      <c r="F221" s="5"/>
      <c r="G221" s="5">
        <v>4833.3</v>
      </c>
      <c r="H221" s="5">
        <v>409.6</v>
      </c>
      <c r="I221" s="19">
        <f>VLOOKUP("Couche de base",'Taux unitaires'!$B$9:$C$11,2,FALSE)</f>
        <v>200</v>
      </c>
      <c r="J221" s="19">
        <f>VLOOKUP("Revêtement de route",'Taux unitaires'!$B$9:$C$11,2,FALSE)</f>
        <v>101</v>
      </c>
      <c r="K221" s="19">
        <f t="shared" si="31"/>
        <v>966660</v>
      </c>
      <c r="L221" s="19">
        <f t="shared" si="32"/>
        <v>488163.30000000005</v>
      </c>
      <c r="M221" s="19">
        <f t="shared" si="33"/>
        <v>976326.60000000009</v>
      </c>
      <c r="N221" s="19">
        <f t="shared" si="34"/>
        <v>1942986.6</v>
      </c>
      <c r="O221" s="5">
        <f>VLOOKUP(C221,'Durée de vie utile'!$B$15:$E$18,4,FALSE)</f>
        <v>125</v>
      </c>
      <c r="P221" s="5">
        <f>VLOOKUP(C221,'Durée de vie utile'!$B$15:$E$18,3,FALSE)</f>
        <v>100</v>
      </c>
      <c r="Q221" s="5">
        <f>VLOOKUP(C221,'Durée de vie utile'!$B$26:$E$29,4,FALSE)</f>
        <v>50</v>
      </c>
      <c r="R221" s="5">
        <f>VLOOKUP(C221,'Durée de vie utile'!$B$26:$E$29,3,FALSE)</f>
        <v>30</v>
      </c>
      <c r="S221" s="6">
        <f t="shared" si="35"/>
        <v>19429.866000000002</v>
      </c>
      <c r="T221" s="6">
        <f>(N221/(1+'Autres hypothèses'!$D$5))*('Autres hypothèses'!$D$5/(((1+'Autres hypothèses'!$D$5)^Routes!P221-1)))</f>
        <v>11284.218110570177</v>
      </c>
      <c r="U221" s="5">
        <v>2004</v>
      </c>
      <c r="V221" s="5">
        <f t="shared" si="27"/>
        <v>18</v>
      </c>
      <c r="W221" s="1">
        <f t="shared" si="28"/>
        <v>0.18</v>
      </c>
      <c r="X221" s="3">
        <f t="shared" si="29"/>
        <v>36</v>
      </c>
      <c r="Y221" s="3">
        <f t="shared" si="30"/>
        <v>164</v>
      </c>
    </row>
    <row r="222" spans="1:25" x14ac:dyDescent="0.25">
      <c r="A222" s="20" t="s">
        <v>692</v>
      </c>
      <c r="B222" s="5" t="s">
        <v>1932</v>
      </c>
      <c r="C222" s="5" t="s">
        <v>1933</v>
      </c>
      <c r="D222" s="5"/>
      <c r="E222" s="5"/>
      <c r="F222" s="5"/>
      <c r="G222" s="5">
        <v>819.36533636000001</v>
      </c>
      <c r="H222" s="5">
        <v>69.444917383776598</v>
      </c>
      <c r="I222" s="19">
        <f>VLOOKUP("Couche de base",'Taux unitaires'!$B$9:$C$11,2,FALSE)</f>
        <v>200</v>
      </c>
      <c r="J222" s="19">
        <f>VLOOKUP("Revêtement de route",'Taux unitaires'!$B$9:$C$11,2,FALSE)</f>
        <v>101</v>
      </c>
      <c r="K222" s="19">
        <f t="shared" si="31"/>
        <v>163873.06727200001</v>
      </c>
      <c r="L222" s="19">
        <f t="shared" si="32"/>
        <v>82755.898972359995</v>
      </c>
      <c r="M222" s="19">
        <f t="shared" si="33"/>
        <v>165511.79794471999</v>
      </c>
      <c r="N222" s="19">
        <f t="shared" si="34"/>
        <v>329384.86521672003</v>
      </c>
      <c r="O222" s="5">
        <f>VLOOKUP(C222,'Durée de vie utile'!$B$15:$E$18,4,FALSE)</f>
        <v>125</v>
      </c>
      <c r="P222" s="5">
        <f>VLOOKUP(C222,'Durée de vie utile'!$B$15:$E$18,3,FALSE)</f>
        <v>100</v>
      </c>
      <c r="Q222" s="5">
        <f>VLOOKUP(C222,'Durée de vie utile'!$B$26:$E$29,4,FALSE)</f>
        <v>50</v>
      </c>
      <c r="R222" s="5">
        <f>VLOOKUP(C222,'Durée de vie utile'!$B$26:$E$29,3,FALSE)</f>
        <v>30</v>
      </c>
      <c r="S222" s="6">
        <f t="shared" si="35"/>
        <v>3293.8486521672003</v>
      </c>
      <c r="T222" s="6">
        <f>(N222/(1+'Autres hypothèses'!$D$5))*('Autres hypothèses'!$D$5/(((1+'Autres hypothèses'!$D$5)^Routes!P222-1)))</f>
        <v>1912.957434408569</v>
      </c>
      <c r="U222" s="5">
        <v>2003</v>
      </c>
      <c r="V222" s="5">
        <f t="shared" si="27"/>
        <v>19</v>
      </c>
      <c r="W222" s="1">
        <f t="shared" si="28"/>
        <v>0.19</v>
      </c>
      <c r="X222" s="3">
        <f t="shared" si="29"/>
        <v>38</v>
      </c>
      <c r="Y222" s="3">
        <f t="shared" si="30"/>
        <v>162</v>
      </c>
    </row>
    <row r="223" spans="1:25" x14ac:dyDescent="0.25">
      <c r="A223" s="20" t="s">
        <v>693</v>
      </c>
      <c r="B223" s="5" t="s">
        <v>1934</v>
      </c>
      <c r="C223" s="5" t="s">
        <v>1935</v>
      </c>
      <c r="D223" s="5"/>
      <c r="E223" s="5"/>
      <c r="F223" s="5"/>
      <c r="G223" s="5">
        <v>6029.8</v>
      </c>
      <c r="H223" s="5">
        <v>317.5</v>
      </c>
      <c r="I223" s="19">
        <f>VLOOKUP("Couche de base",'Taux unitaires'!$B$9:$C$11,2,FALSE)</f>
        <v>200</v>
      </c>
      <c r="J223" s="19">
        <f>VLOOKUP("Revêtement de route",'Taux unitaires'!$B$9:$C$11,2,FALSE)</f>
        <v>101</v>
      </c>
      <c r="K223" s="19">
        <f t="shared" si="31"/>
        <v>1205960</v>
      </c>
      <c r="L223" s="19">
        <f t="shared" si="32"/>
        <v>609009.80000000005</v>
      </c>
      <c r="M223" s="19">
        <f t="shared" si="33"/>
        <v>1218019.6000000001</v>
      </c>
      <c r="N223" s="19">
        <f t="shared" si="34"/>
        <v>2423979.6</v>
      </c>
      <c r="O223" s="5">
        <f>VLOOKUP(C223,'Durée de vie utile'!$B$15:$E$18,4,FALSE)</f>
        <v>100</v>
      </c>
      <c r="P223" s="5">
        <f>VLOOKUP(C223,'Durée de vie utile'!$B$15:$E$18,3,FALSE)</f>
        <v>80</v>
      </c>
      <c r="Q223" s="5">
        <f>VLOOKUP(C223,'Durée de vie utile'!$B$26:$E$29,4,FALSE)</f>
        <v>40</v>
      </c>
      <c r="R223" s="5">
        <f>VLOOKUP(C223,'Durée de vie utile'!$B$26:$E$29,3,FALSE)</f>
        <v>25</v>
      </c>
      <c r="S223" s="6">
        <f t="shared" si="35"/>
        <v>30299.745000000003</v>
      </c>
      <c r="T223" s="6">
        <f>(N223/(1+'Autres hypothèses'!$D$5))*('Autres hypothèses'!$D$5/(((1+'Autres hypothèses'!$D$5)^Routes!P223-1)))</f>
        <v>19725.074266059921</v>
      </c>
      <c r="U223" s="5">
        <v>2005</v>
      </c>
      <c r="V223" s="5">
        <f t="shared" si="27"/>
        <v>17</v>
      </c>
      <c r="W223" s="1">
        <f t="shared" si="28"/>
        <v>0.21249999999999999</v>
      </c>
      <c r="X223" s="3">
        <f t="shared" si="29"/>
        <v>42.5</v>
      </c>
      <c r="Y223" s="3">
        <f t="shared" si="30"/>
        <v>157.5</v>
      </c>
    </row>
    <row r="224" spans="1:25" x14ac:dyDescent="0.25">
      <c r="A224" s="20" t="s">
        <v>694</v>
      </c>
      <c r="B224" s="5" t="s">
        <v>1936</v>
      </c>
      <c r="C224" s="5" t="s">
        <v>1937</v>
      </c>
      <c r="D224" s="5"/>
      <c r="E224" s="5"/>
      <c r="F224" s="5"/>
      <c r="G224" s="5">
        <v>1329.81050219999</v>
      </c>
      <c r="H224" s="5">
        <v>179.497055329208</v>
      </c>
      <c r="I224" s="19">
        <f>VLOOKUP("Couche de base",'Taux unitaires'!$B$9:$C$11,2,FALSE)</f>
        <v>200</v>
      </c>
      <c r="J224" s="19">
        <f>VLOOKUP("Revêtement de route",'Taux unitaires'!$B$9:$C$11,2,FALSE)</f>
        <v>101</v>
      </c>
      <c r="K224" s="19">
        <f t="shared" si="31"/>
        <v>265962.10043999797</v>
      </c>
      <c r="L224" s="19">
        <f t="shared" si="32"/>
        <v>134310.860722199</v>
      </c>
      <c r="M224" s="19">
        <f t="shared" si="33"/>
        <v>268621.72144439799</v>
      </c>
      <c r="N224" s="19">
        <f t="shared" si="34"/>
        <v>534583.82188439602</v>
      </c>
      <c r="O224" s="5">
        <f>VLOOKUP(C224,'Durée de vie utile'!$B$15:$E$18,4,FALSE)</f>
        <v>125</v>
      </c>
      <c r="P224" s="5">
        <f>VLOOKUP(C224,'Durée de vie utile'!$B$15:$E$18,3,FALSE)</f>
        <v>100</v>
      </c>
      <c r="Q224" s="5">
        <f>VLOOKUP(C224,'Durée de vie utile'!$B$26:$E$29,4,FALSE)</f>
        <v>50</v>
      </c>
      <c r="R224" s="5">
        <f>VLOOKUP(C224,'Durée de vie utile'!$B$26:$E$29,3,FALSE)</f>
        <v>30</v>
      </c>
      <c r="S224" s="6">
        <f t="shared" si="35"/>
        <v>5345.83821884396</v>
      </c>
      <c r="T224" s="6">
        <f>(N224/(1+'Autres hypothèses'!$D$5))*('Autres hypothèses'!$D$5/(((1+'Autres hypothèses'!$D$5)^Routes!P224-1)))</f>
        <v>3104.68453283503</v>
      </c>
      <c r="U224" s="5">
        <v>2003</v>
      </c>
      <c r="V224" s="5">
        <f t="shared" si="27"/>
        <v>19</v>
      </c>
      <c r="W224" s="1">
        <f t="shared" si="28"/>
        <v>0.19</v>
      </c>
      <c r="X224" s="3">
        <f t="shared" si="29"/>
        <v>38</v>
      </c>
      <c r="Y224" s="3">
        <f t="shared" si="30"/>
        <v>162</v>
      </c>
    </row>
    <row r="225" spans="1:25" x14ac:dyDescent="0.25">
      <c r="A225" s="20" t="s">
        <v>695</v>
      </c>
      <c r="B225" s="5" t="s">
        <v>1938</v>
      </c>
      <c r="C225" s="5" t="s">
        <v>1939</v>
      </c>
      <c r="D225" s="5"/>
      <c r="E225" s="5"/>
      <c r="F225" s="5"/>
      <c r="G225" s="5">
        <v>2004.3466808099899</v>
      </c>
      <c r="H225" s="5">
        <v>338.87923242286502</v>
      </c>
      <c r="I225" s="19">
        <f>VLOOKUP("Couche de base",'Taux unitaires'!$B$9:$C$11,2,FALSE)</f>
        <v>200</v>
      </c>
      <c r="J225" s="19">
        <f>VLOOKUP("Revêtement de route",'Taux unitaires'!$B$9:$C$11,2,FALSE)</f>
        <v>101</v>
      </c>
      <c r="K225" s="19">
        <f t="shared" si="31"/>
        <v>400869.33616199798</v>
      </c>
      <c r="L225" s="19">
        <f t="shared" si="32"/>
        <v>202439.014761809</v>
      </c>
      <c r="M225" s="19">
        <f t="shared" si="33"/>
        <v>404878.029523618</v>
      </c>
      <c r="N225" s="19">
        <f t="shared" si="34"/>
        <v>805747.36568561592</v>
      </c>
      <c r="O225" s="5">
        <f>VLOOKUP(C225,'Durée de vie utile'!$B$15:$E$18,4,FALSE)</f>
        <v>100</v>
      </c>
      <c r="P225" s="5">
        <f>VLOOKUP(C225,'Durée de vie utile'!$B$15:$E$18,3,FALSE)</f>
        <v>80</v>
      </c>
      <c r="Q225" s="5">
        <f>VLOOKUP(C225,'Durée de vie utile'!$B$26:$E$29,4,FALSE)</f>
        <v>40</v>
      </c>
      <c r="R225" s="5">
        <f>VLOOKUP(C225,'Durée de vie utile'!$B$26:$E$29,3,FALSE)</f>
        <v>25</v>
      </c>
      <c r="S225" s="6">
        <f t="shared" si="35"/>
        <v>10071.842071070199</v>
      </c>
      <c r="T225" s="6">
        <f>(N225/(1+'Autres hypothèses'!$D$5))*('Autres hypothèses'!$D$5/(((1+'Autres hypothèses'!$D$5)^Routes!P225-1)))</f>
        <v>6556.7493339592938</v>
      </c>
      <c r="U225" s="5">
        <v>2003</v>
      </c>
      <c r="V225" s="5">
        <f t="shared" si="27"/>
        <v>19</v>
      </c>
      <c r="W225" s="1">
        <f t="shared" si="28"/>
        <v>0.23749999999999999</v>
      </c>
      <c r="X225" s="3">
        <f t="shared" si="29"/>
        <v>47.5</v>
      </c>
      <c r="Y225" s="3">
        <f t="shared" si="30"/>
        <v>152.5</v>
      </c>
    </row>
    <row r="226" spans="1:25" x14ac:dyDescent="0.25">
      <c r="A226" s="20" t="s">
        <v>696</v>
      </c>
      <c r="B226" s="5" t="s">
        <v>1940</v>
      </c>
      <c r="C226" s="5" t="s">
        <v>1941</v>
      </c>
      <c r="D226" s="5"/>
      <c r="E226" s="5"/>
      <c r="F226" s="5"/>
      <c r="G226" s="5">
        <v>2738.01303164</v>
      </c>
      <c r="H226" s="5">
        <v>228.16775263684301</v>
      </c>
      <c r="I226" s="19">
        <f>VLOOKUP("Couche de base",'Taux unitaires'!$B$9:$C$11,2,FALSE)</f>
        <v>200</v>
      </c>
      <c r="J226" s="19">
        <f>VLOOKUP("Revêtement de route",'Taux unitaires'!$B$9:$C$11,2,FALSE)</f>
        <v>101</v>
      </c>
      <c r="K226" s="19">
        <f t="shared" si="31"/>
        <v>547602.60632799997</v>
      </c>
      <c r="L226" s="19">
        <f t="shared" si="32"/>
        <v>276539.31619564001</v>
      </c>
      <c r="M226" s="19">
        <f t="shared" si="33"/>
        <v>553078.63239128003</v>
      </c>
      <c r="N226" s="19">
        <f t="shared" si="34"/>
        <v>1100681.2387192799</v>
      </c>
      <c r="O226" s="5">
        <f>VLOOKUP(C226,'Durée de vie utile'!$B$15:$E$18,4,FALSE)</f>
        <v>125</v>
      </c>
      <c r="P226" s="5">
        <f>VLOOKUP(C226,'Durée de vie utile'!$B$15:$E$18,3,FALSE)</f>
        <v>100</v>
      </c>
      <c r="Q226" s="5">
        <f>VLOOKUP(C226,'Durée de vie utile'!$B$26:$E$29,4,FALSE)</f>
        <v>50</v>
      </c>
      <c r="R226" s="5">
        <f>VLOOKUP(C226,'Durée de vie utile'!$B$26:$E$29,3,FALSE)</f>
        <v>30</v>
      </c>
      <c r="S226" s="6">
        <f t="shared" si="35"/>
        <v>11006.812387192798</v>
      </c>
      <c r="T226" s="6">
        <f>(N226/(1+'Autres hypothèses'!$D$5))*('Autres hypothèses'!$D$5/(((1+'Autres hypothèses'!$D$5)^Routes!P226-1)))</f>
        <v>6392.3895141226976</v>
      </c>
      <c r="U226" s="5">
        <v>2003</v>
      </c>
      <c r="V226" s="5">
        <f t="shared" si="27"/>
        <v>19</v>
      </c>
      <c r="W226" s="1">
        <f t="shared" si="28"/>
        <v>0.19</v>
      </c>
      <c r="X226" s="3">
        <f t="shared" si="29"/>
        <v>38</v>
      </c>
      <c r="Y226" s="3">
        <f t="shared" si="30"/>
        <v>162</v>
      </c>
    </row>
    <row r="227" spans="1:25" x14ac:dyDescent="0.25">
      <c r="A227" s="20" t="s">
        <v>697</v>
      </c>
      <c r="B227" s="5" t="s">
        <v>1942</v>
      </c>
      <c r="C227" s="5" t="s">
        <v>1943</v>
      </c>
      <c r="D227" s="5"/>
      <c r="E227" s="5"/>
      <c r="F227" s="5"/>
      <c r="G227" s="5">
        <v>856.9</v>
      </c>
      <c r="H227" s="5">
        <v>56</v>
      </c>
      <c r="I227" s="19">
        <f>VLOOKUP("Couche de base",'Taux unitaires'!$B$9:$C$11,2,FALSE)</f>
        <v>200</v>
      </c>
      <c r="J227" s="19">
        <f>VLOOKUP("Revêtement de route",'Taux unitaires'!$B$9:$C$11,2,FALSE)</f>
        <v>101</v>
      </c>
      <c r="K227" s="19">
        <f t="shared" si="31"/>
        <v>171380</v>
      </c>
      <c r="L227" s="19">
        <f t="shared" si="32"/>
        <v>86546.9</v>
      </c>
      <c r="M227" s="19">
        <f t="shared" si="33"/>
        <v>173093.8</v>
      </c>
      <c r="N227" s="19">
        <f t="shared" si="34"/>
        <v>344473.8</v>
      </c>
      <c r="O227" s="5">
        <f>VLOOKUP(C227,'Durée de vie utile'!$B$15:$E$18,4,FALSE)</f>
        <v>125</v>
      </c>
      <c r="P227" s="5">
        <f>VLOOKUP(C227,'Durée de vie utile'!$B$15:$E$18,3,FALSE)</f>
        <v>100</v>
      </c>
      <c r="Q227" s="5">
        <f>VLOOKUP(C227,'Durée de vie utile'!$B$26:$E$29,4,FALSE)</f>
        <v>50</v>
      </c>
      <c r="R227" s="5">
        <f>VLOOKUP(C227,'Durée de vie utile'!$B$26:$E$29,3,FALSE)</f>
        <v>30</v>
      </c>
      <c r="S227" s="6">
        <f t="shared" si="35"/>
        <v>3444.7379999999998</v>
      </c>
      <c r="T227" s="6">
        <f>(N227/(1+'Autres hypothèses'!$D$5))*('Autres hypothèses'!$D$5/(((1+'Autres hypothèses'!$D$5)^Routes!P227-1)))</f>
        <v>2000.5889348783614</v>
      </c>
      <c r="U227" s="5">
        <v>2005</v>
      </c>
      <c r="V227" s="5">
        <f t="shared" si="27"/>
        <v>17</v>
      </c>
      <c r="W227" s="1">
        <f t="shared" si="28"/>
        <v>0.17</v>
      </c>
      <c r="X227" s="3">
        <f t="shared" si="29"/>
        <v>34</v>
      </c>
      <c r="Y227" s="3">
        <f t="shared" si="30"/>
        <v>166</v>
      </c>
    </row>
    <row r="228" spans="1:25" x14ac:dyDescent="0.25">
      <c r="A228" s="20" t="s">
        <v>698</v>
      </c>
      <c r="B228" s="5" t="s">
        <v>1944</v>
      </c>
      <c r="C228" s="5" t="s">
        <v>1945</v>
      </c>
      <c r="D228" s="5"/>
      <c r="E228" s="5"/>
      <c r="F228" s="5"/>
      <c r="G228" s="5">
        <v>1785.3646713799901</v>
      </c>
      <c r="H228" s="5">
        <v>151.317729225779</v>
      </c>
      <c r="I228" s="19">
        <f>VLOOKUP("Couche de base",'Taux unitaires'!$B$9:$C$11,2,FALSE)</f>
        <v>200</v>
      </c>
      <c r="J228" s="19">
        <f>VLOOKUP("Revêtement de route",'Taux unitaires'!$B$9:$C$11,2,FALSE)</f>
        <v>101</v>
      </c>
      <c r="K228" s="19">
        <f t="shared" si="31"/>
        <v>357072.93427599804</v>
      </c>
      <c r="L228" s="19">
        <f t="shared" si="32"/>
        <v>180321.83180937901</v>
      </c>
      <c r="M228" s="19">
        <f t="shared" si="33"/>
        <v>360643.66361875803</v>
      </c>
      <c r="N228" s="19">
        <f t="shared" si="34"/>
        <v>717716.59789475612</v>
      </c>
      <c r="O228" s="5">
        <f>VLOOKUP(C228,'Durée de vie utile'!$B$15:$E$18,4,FALSE)</f>
        <v>100</v>
      </c>
      <c r="P228" s="5">
        <f>VLOOKUP(C228,'Durée de vie utile'!$B$15:$E$18,3,FALSE)</f>
        <v>80</v>
      </c>
      <c r="Q228" s="5">
        <f>VLOOKUP(C228,'Durée de vie utile'!$B$26:$E$29,4,FALSE)</f>
        <v>40</v>
      </c>
      <c r="R228" s="5">
        <f>VLOOKUP(C228,'Durée de vie utile'!$B$26:$E$29,3,FALSE)</f>
        <v>25</v>
      </c>
      <c r="S228" s="6">
        <f t="shared" si="35"/>
        <v>8971.4574736844515</v>
      </c>
      <c r="T228" s="6">
        <f>(N228/(1+'Autres hypothèses'!$D$5))*('Autres hypothèses'!$D$5/(((1+'Autres hypothèses'!$D$5)^Routes!P228-1)))</f>
        <v>5840.4011302149283</v>
      </c>
      <c r="U228" s="5">
        <v>2005</v>
      </c>
      <c r="V228" s="5">
        <f t="shared" si="27"/>
        <v>17</v>
      </c>
      <c r="W228" s="1">
        <f t="shared" si="28"/>
        <v>0.21249999999999999</v>
      </c>
      <c r="X228" s="3">
        <f t="shared" si="29"/>
        <v>42.5</v>
      </c>
      <c r="Y228" s="3">
        <f t="shared" si="30"/>
        <v>157.5</v>
      </c>
    </row>
    <row r="229" spans="1:25" x14ac:dyDescent="0.25">
      <c r="A229" s="20" t="s">
        <v>699</v>
      </c>
      <c r="B229" s="5" t="s">
        <v>1946</v>
      </c>
      <c r="C229" s="5" t="s">
        <v>1947</v>
      </c>
      <c r="D229" s="5"/>
      <c r="E229" s="5"/>
      <c r="F229" s="5"/>
      <c r="G229" s="5">
        <v>2204.8198067500002</v>
      </c>
      <c r="H229" s="5">
        <v>173.42467550348499</v>
      </c>
      <c r="I229" s="19">
        <f>VLOOKUP("Couche de base",'Taux unitaires'!$B$9:$C$11,2,FALSE)</f>
        <v>200</v>
      </c>
      <c r="J229" s="19">
        <f>VLOOKUP("Revêtement de route",'Taux unitaires'!$B$9:$C$11,2,FALSE)</f>
        <v>101</v>
      </c>
      <c r="K229" s="19">
        <f t="shared" si="31"/>
        <v>440963.96135000006</v>
      </c>
      <c r="L229" s="19">
        <f t="shared" si="32"/>
        <v>222686.80048175002</v>
      </c>
      <c r="M229" s="19">
        <f t="shared" si="33"/>
        <v>445373.60096350004</v>
      </c>
      <c r="N229" s="19">
        <f t="shared" si="34"/>
        <v>886337.56231350009</v>
      </c>
      <c r="O229" s="5">
        <f>VLOOKUP(C229,'Durée de vie utile'!$B$15:$E$18,4,FALSE)</f>
        <v>125</v>
      </c>
      <c r="P229" s="5">
        <f>VLOOKUP(C229,'Durée de vie utile'!$B$15:$E$18,3,FALSE)</f>
        <v>100</v>
      </c>
      <c r="Q229" s="5">
        <f>VLOOKUP(C229,'Durée de vie utile'!$B$26:$E$29,4,FALSE)</f>
        <v>50</v>
      </c>
      <c r="R229" s="5">
        <f>VLOOKUP(C229,'Durée de vie utile'!$B$26:$E$29,3,FALSE)</f>
        <v>30</v>
      </c>
      <c r="S229" s="6">
        <f t="shared" si="35"/>
        <v>8863.3756231350017</v>
      </c>
      <c r="T229" s="6">
        <f>(N229/(1+'Autres hypothèses'!$D$5))*('Autres hypothèses'!$D$5/(((1+'Autres hypothèses'!$D$5)^Routes!P229-1)))</f>
        <v>5147.5529335799947</v>
      </c>
      <c r="U229" s="5">
        <v>2009</v>
      </c>
      <c r="V229" s="5">
        <f t="shared" si="27"/>
        <v>13</v>
      </c>
      <c r="W229" s="1">
        <f t="shared" si="28"/>
        <v>0.13</v>
      </c>
      <c r="X229" s="3">
        <f t="shared" si="29"/>
        <v>26</v>
      </c>
      <c r="Y229" s="3">
        <f t="shared" si="30"/>
        <v>174</v>
      </c>
    </row>
    <row r="230" spans="1:25" x14ac:dyDescent="0.25">
      <c r="A230" s="20" t="s">
        <v>700</v>
      </c>
      <c r="B230" s="5" t="s">
        <v>1948</v>
      </c>
      <c r="C230" s="5" t="s">
        <v>1949</v>
      </c>
      <c r="D230" s="5"/>
      <c r="E230" s="5"/>
      <c r="F230" s="5"/>
      <c r="G230" s="5">
        <v>1059.5999999999999</v>
      </c>
      <c r="H230" s="5">
        <v>88.2</v>
      </c>
      <c r="I230" s="19">
        <f>VLOOKUP("Couche de base",'Taux unitaires'!$B$9:$C$11,2,FALSE)</f>
        <v>200</v>
      </c>
      <c r="J230" s="19">
        <f>VLOOKUP("Revêtement de route",'Taux unitaires'!$B$9:$C$11,2,FALSE)</f>
        <v>101</v>
      </c>
      <c r="K230" s="19">
        <f t="shared" si="31"/>
        <v>211919.99999999997</v>
      </c>
      <c r="L230" s="19">
        <f t="shared" si="32"/>
        <v>107019.59999999999</v>
      </c>
      <c r="M230" s="19">
        <f t="shared" si="33"/>
        <v>214039.19999999998</v>
      </c>
      <c r="N230" s="19">
        <f t="shared" si="34"/>
        <v>425959.19999999995</v>
      </c>
      <c r="O230" s="5">
        <f>VLOOKUP(C230,'Durée de vie utile'!$B$15:$E$18,4,FALSE)</f>
        <v>125</v>
      </c>
      <c r="P230" s="5">
        <f>VLOOKUP(C230,'Durée de vie utile'!$B$15:$E$18,3,FALSE)</f>
        <v>100</v>
      </c>
      <c r="Q230" s="5">
        <f>VLOOKUP(C230,'Durée de vie utile'!$B$26:$E$29,4,FALSE)</f>
        <v>50</v>
      </c>
      <c r="R230" s="5">
        <f>VLOOKUP(C230,'Durée de vie utile'!$B$26:$E$29,3,FALSE)</f>
        <v>30</v>
      </c>
      <c r="S230" s="6">
        <f t="shared" si="35"/>
        <v>4259.5919999999996</v>
      </c>
      <c r="T230" s="6">
        <f>(N230/(1+'Autres hypothèses'!$D$5))*('Autres hypothèses'!$D$5/(((1+'Autres hypothèses'!$D$5)^Routes!P230-1)))</f>
        <v>2473.8289595018223</v>
      </c>
      <c r="U230" s="5">
        <v>2009</v>
      </c>
      <c r="V230" s="5">
        <f t="shared" si="27"/>
        <v>13</v>
      </c>
      <c r="W230" s="1">
        <f t="shared" si="28"/>
        <v>0.13</v>
      </c>
      <c r="X230" s="3">
        <f t="shared" si="29"/>
        <v>26</v>
      </c>
      <c r="Y230" s="3">
        <f t="shared" si="30"/>
        <v>174</v>
      </c>
    </row>
    <row r="231" spans="1:25" x14ac:dyDescent="0.25">
      <c r="A231" s="20" t="s">
        <v>701</v>
      </c>
      <c r="B231" s="5" t="s">
        <v>1950</v>
      </c>
      <c r="C231" s="5" t="s">
        <v>1951</v>
      </c>
      <c r="D231" s="5"/>
      <c r="E231" s="5"/>
      <c r="F231" s="5"/>
      <c r="G231" s="5">
        <v>3458.4</v>
      </c>
      <c r="H231" s="5">
        <v>207</v>
      </c>
      <c r="I231" s="19">
        <f>VLOOKUP("Couche de base",'Taux unitaires'!$B$9:$C$11,2,FALSE)</f>
        <v>200</v>
      </c>
      <c r="J231" s="19">
        <f>VLOOKUP("Revêtement de route",'Taux unitaires'!$B$9:$C$11,2,FALSE)</f>
        <v>101</v>
      </c>
      <c r="K231" s="19">
        <f t="shared" si="31"/>
        <v>691680</v>
      </c>
      <c r="L231" s="19">
        <f t="shared" si="32"/>
        <v>349298.4</v>
      </c>
      <c r="M231" s="19">
        <f t="shared" si="33"/>
        <v>698596.8</v>
      </c>
      <c r="N231" s="19">
        <f t="shared" si="34"/>
        <v>1390276.8</v>
      </c>
      <c r="O231" s="5">
        <f>VLOOKUP(C231,'Durée de vie utile'!$B$15:$E$18,4,FALSE)</f>
        <v>125</v>
      </c>
      <c r="P231" s="5">
        <f>VLOOKUP(C231,'Durée de vie utile'!$B$15:$E$18,3,FALSE)</f>
        <v>100</v>
      </c>
      <c r="Q231" s="5">
        <f>VLOOKUP(C231,'Durée de vie utile'!$B$26:$E$29,4,FALSE)</f>
        <v>50</v>
      </c>
      <c r="R231" s="5">
        <f>VLOOKUP(C231,'Durée de vie utile'!$B$26:$E$29,3,FALSE)</f>
        <v>30</v>
      </c>
      <c r="S231" s="6">
        <f t="shared" si="35"/>
        <v>13902.768</v>
      </c>
      <c r="T231" s="6">
        <f>(N231/(1+'Autres hypothèses'!$D$5))*('Autres hypothèses'!$D$5/(((1+'Autres hypothèses'!$D$5)^Routes!P231-1)))</f>
        <v>8074.2639425642728</v>
      </c>
      <c r="U231" s="5">
        <v>2009</v>
      </c>
      <c r="V231" s="5">
        <f t="shared" si="27"/>
        <v>13</v>
      </c>
      <c r="W231" s="1">
        <f t="shared" si="28"/>
        <v>0.13</v>
      </c>
      <c r="X231" s="3">
        <f t="shared" si="29"/>
        <v>26</v>
      </c>
      <c r="Y231" s="3">
        <f t="shared" si="30"/>
        <v>174</v>
      </c>
    </row>
    <row r="232" spans="1:25" x14ac:dyDescent="0.25">
      <c r="A232" s="20" t="s">
        <v>702</v>
      </c>
      <c r="B232" s="5" t="s">
        <v>1952</v>
      </c>
      <c r="C232" s="5" t="s">
        <v>1953</v>
      </c>
      <c r="D232" s="5"/>
      <c r="E232" s="5"/>
      <c r="F232" s="5"/>
      <c r="G232" s="5">
        <v>1102.9693587899901</v>
      </c>
      <c r="H232" s="5">
        <v>174.77002399503601</v>
      </c>
      <c r="I232" s="19">
        <f>VLOOKUP("Couche de base",'Taux unitaires'!$B$9:$C$11,2,FALSE)</f>
        <v>200</v>
      </c>
      <c r="J232" s="19">
        <f>VLOOKUP("Revêtement de route",'Taux unitaires'!$B$9:$C$11,2,FALSE)</f>
        <v>101</v>
      </c>
      <c r="K232" s="19">
        <f t="shared" si="31"/>
        <v>220593.87175799801</v>
      </c>
      <c r="L232" s="19">
        <f t="shared" si="32"/>
        <v>111399.905237789</v>
      </c>
      <c r="M232" s="19">
        <f t="shared" si="33"/>
        <v>222799.81047557801</v>
      </c>
      <c r="N232" s="19">
        <f t="shared" si="34"/>
        <v>443393.68223357602</v>
      </c>
      <c r="O232" s="5">
        <f>VLOOKUP(C232,'Durée de vie utile'!$B$15:$E$18,4,FALSE)</f>
        <v>125</v>
      </c>
      <c r="P232" s="5">
        <f>VLOOKUP(C232,'Durée de vie utile'!$B$15:$E$18,3,FALSE)</f>
        <v>100</v>
      </c>
      <c r="Q232" s="5">
        <f>VLOOKUP(C232,'Durée de vie utile'!$B$26:$E$29,4,FALSE)</f>
        <v>50</v>
      </c>
      <c r="R232" s="5">
        <f>VLOOKUP(C232,'Durée de vie utile'!$B$26:$E$29,3,FALSE)</f>
        <v>30</v>
      </c>
      <c r="S232" s="6">
        <f t="shared" si="35"/>
        <v>4433.9368223357606</v>
      </c>
      <c r="T232" s="6">
        <f>(N232/(1+'Autres hypothèses'!$D$5))*('Autres hypothèses'!$D$5/(((1+'Autres hypothèses'!$D$5)^Routes!P232-1)))</f>
        <v>2575.0826172308734</v>
      </c>
      <c r="U232" s="5">
        <v>2009</v>
      </c>
      <c r="V232" s="5">
        <f t="shared" si="27"/>
        <v>13</v>
      </c>
      <c r="W232" s="1">
        <f t="shared" si="28"/>
        <v>0.13</v>
      </c>
      <c r="X232" s="3">
        <f t="shared" si="29"/>
        <v>26</v>
      </c>
      <c r="Y232" s="3">
        <f t="shared" si="30"/>
        <v>174</v>
      </c>
    </row>
    <row r="233" spans="1:25" x14ac:dyDescent="0.25">
      <c r="A233" s="20" t="s">
        <v>703</v>
      </c>
      <c r="B233" s="5" t="s">
        <v>1954</v>
      </c>
      <c r="C233" s="5" t="s">
        <v>1955</v>
      </c>
      <c r="D233" s="5"/>
      <c r="E233" s="5"/>
      <c r="F233" s="5"/>
      <c r="G233" s="5">
        <v>450.70453610999903</v>
      </c>
      <c r="H233" s="5">
        <v>35.1978780544042</v>
      </c>
      <c r="I233" s="19">
        <f>VLOOKUP("Couche de base",'Taux unitaires'!$B$9:$C$11,2,FALSE)</f>
        <v>200</v>
      </c>
      <c r="J233" s="19">
        <f>VLOOKUP("Revêtement de route",'Taux unitaires'!$B$9:$C$11,2,FALSE)</f>
        <v>101</v>
      </c>
      <c r="K233" s="19">
        <f t="shared" si="31"/>
        <v>90140.907221999805</v>
      </c>
      <c r="L233" s="19">
        <f t="shared" si="32"/>
        <v>45521.158147109905</v>
      </c>
      <c r="M233" s="19">
        <f t="shared" si="33"/>
        <v>91042.316294219811</v>
      </c>
      <c r="N233" s="19">
        <f t="shared" si="34"/>
        <v>181183.22351621962</v>
      </c>
      <c r="O233" s="5">
        <f>VLOOKUP(C233,'Durée de vie utile'!$B$15:$E$18,4,FALSE)</f>
        <v>125</v>
      </c>
      <c r="P233" s="5">
        <f>VLOOKUP(C233,'Durée de vie utile'!$B$15:$E$18,3,FALSE)</f>
        <v>100</v>
      </c>
      <c r="Q233" s="5">
        <f>VLOOKUP(C233,'Durée de vie utile'!$B$26:$E$29,4,FALSE)</f>
        <v>50</v>
      </c>
      <c r="R233" s="5">
        <f>VLOOKUP(C233,'Durée de vie utile'!$B$26:$E$29,3,FALSE)</f>
        <v>30</v>
      </c>
      <c r="S233" s="6">
        <f t="shared" si="35"/>
        <v>1811.8322351621962</v>
      </c>
      <c r="T233" s="6">
        <f>(N233/(1+'Autres hypothèses'!$D$5))*('Autres hypothèses'!$D$5/(((1+'Autres hypothèses'!$D$5)^Routes!P233-1)))</f>
        <v>1052.2517304716407</v>
      </c>
      <c r="U233" s="5">
        <v>2010</v>
      </c>
      <c r="V233" s="5">
        <f t="shared" si="27"/>
        <v>12</v>
      </c>
      <c r="W233" s="1">
        <f t="shared" si="28"/>
        <v>0.12</v>
      </c>
      <c r="X233" s="3">
        <f t="shared" si="29"/>
        <v>24</v>
      </c>
      <c r="Y233" s="3">
        <f t="shared" si="30"/>
        <v>176</v>
      </c>
    </row>
    <row r="234" spans="1:25" x14ac:dyDescent="0.25">
      <c r="A234" s="20" t="s">
        <v>704</v>
      </c>
      <c r="B234" s="5" t="s">
        <v>1956</v>
      </c>
      <c r="C234" s="5" t="s">
        <v>1957</v>
      </c>
      <c r="D234" s="5"/>
      <c r="E234" s="5"/>
      <c r="F234" s="5"/>
      <c r="G234" s="5">
        <v>977.3</v>
      </c>
      <c r="H234" s="5">
        <v>62.6</v>
      </c>
      <c r="I234" s="19">
        <f>VLOOKUP("Couche de base",'Taux unitaires'!$B$9:$C$11,2,FALSE)</f>
        <v>200</v>
      </c>
      <c r="J234" s="19">
        <f>VLOOKUP("Revêtement de route",'Taux unitaires'!$B$9:$C$11,2,FALSE)</f>
        <v>101</v>
      </c>
      <c r="K234" s="19">
        <f t="shared" si="31"/>
        <v>195460</v>
      </c>
      <c r="L234" s="19">
        <f t="shared" si="32"/>
        <v>98707.299999999988</v>
      </c>
      <c r="M234" s="19">
        <f t="shared" si="33"/>
        <v>197414.59999999998</v>
      </c>
      <c r="N234" s="19">
        <f t="shared" si="34"/>
        <v>392874.6</v>
      </c>
      <c r="O234" s="5">
        <f>VLOOKUP(C234,'Durée de vie utile'!$B$15:$E$18,4,FALSE)</f>
        <v>125</v>
      </c>
      <c r="P234" s="5">
        <f>VLOOKUP(C234,'Durée de vie utile'!$B$15:$E$18,3,FALSE)</f>
        <v>100</v>
      </c>
      <c r="Q234" s="5">
        <f>VLOOKUP(C234,'Durée de vie utile'!$B$26:$E$29,4,FALSE)</f>
        <v>50</v>
      </c>
      <c r="R234" s="5">
        <f>VLOOKUP(C234,'Durée de vie utile'!$B$26:$E$29,3,FALSE)</f>
        <v>30</v>
      </c>
      <c r="S234" s="6">
        <f t="shared" si="35"/>
        <v>3928.7459999999996</v>
      </c>
      <c r="T234" s="6">
        <f>(N234/(1+'Autres hypothèses'!$D$5))*('Autres hypothèses'!$D$5/(((1+'Autres hypothèses'!$D$5)^Routes!P234-1)))</f>
        <v>2281.6846377134116</v>
      </c>
      <c r="U234" s="5">
        <v>2005</v>
      </c>
      <c r="V234" s="5">
        <f t="shared" si="27"/>
        <v>17</v>
      </c>
      <c r="W234" s="1">
        <f t="shared" si="28"/>
        <v>0.17</v>
      </c>
      <c r="X234" s="3">
        <f t="shared" si="29"/>
        <v>34</v>
      </c>
      <c r="Y234" s="3">
        <f t="shared" si="30"/>
        <v>166</v>
      </c>
    </row>
    <row r="235" spans="1:25" x14ac:dyDescent="0.25">
      <c r="A235" s="20" t="s">
        <v>705</v>
      </c>
      <c r="B235" s="5" t="s">
        <v>1958</v>
      </c>
      <c r="C235" s="5" t="s">
        <v>1959</v>
      </c>
      <c r="D235" s="5"/>
      <c r="E235" s="5"/>
      <c r="F235" s="5"/>
      <c r="G235" s="5">
        <v>651.49428951000004</v>
      </c>
      <c r="H235" s="5">
        <v>133.55632936265101</v>
      </c>
      <c r="I235" s="19">
        <f>VLOOKUP("Couche de base",'Taux unitaires'!$B$9:$C$11,2,FALSE)</f>
        <v>200</v>
      </c>
      <c r="J235" s="19">
        <f>VLOOKUP("Revêtement de route",'Taux unitaires'!$B$9:$C$11,2,FALSE)</f>
        <v>101</v>
      </c>
      <c r="K235" s="19">
        <f t="shared" si="31"/>
        <v>130298.857902</v>
      </c>
      <c r="L235" s="19">
        <f t="shared" si="32"/>
        <v>65800.923240510005</v>
      </c>
      <c r="M235" s="19">
        <f t="shared" si="33"/>
        <v>131601.84648102001</v>
      </c>
      <c r="N235" s="19">
        <f t="shared" si="34"/>
        <v>261900.70438302</v>
      </c>
      <c r="O235" s="5">
        <f>VLOOKUP(C235,'Durée de vie utile'!$B$15:$E$18,4,FALSE)</f>
        <v>125</v>
      </c>
      <c r="P235" s="5">
        <f>VLOOKUP(C235,'Durée de vie utile'!$B$15:$E$18,3,FALSE)</f>
        <v>100</v>
      </c>
      <c r="Q235" s="5">
        <f>VLOOKUP(C235,'Durée de vie utile'!$B$26:$E$29,4,FALSE)</f>
        <v>50</v>
      </c>
      <c r="R235" s="5">
        <f>VLOOKUP(C235,'Durée de vie utile'!$B$26:$E$29,3,FALSE)</f>
        <v>30</v>
      </c>
      <c r="S235" s="6">
        <f t="shared" si="35"/>
        <v>2619.0070438302</v>
      </c>
      <c r="T235" s="6">
        <f>(N235/(1+'Autres hypothèses'!$D$5))*('Autres hypothèses'!$D$5/(((1+'Autres hypothèses'!$D$5)^Routes!P235-1)))</f>
        <v>1521.0319369006249</v>
      </c>
      <c r="U235" s="5">
        <v>2012</v>
      </c>
      <c r="V235" s="5">
        <f t="shared" si="27"/>
        <v>10</v>
      </c>
      <c r="W235" s="1">
        <f t="shared" si="28"/>
        <v>0.1</v>
      </c>
      <c r="X235" s="3">
        <f t="shared" si="29"/>
        <v>20</v>
      </c>
      <c r="Y235" s="3">
        <f t="shared" si="30"/>
        <v>180</v>
      </c>
    </row>
    <row r="236" spans="1:25" x14ac:dyDescent="0.25">
      <c r="A236" s="20" t="s">
        <v>706</v>
      </c>
      <c r="B236" s="5" t="s">
        <v>1960</v>
      </c>
      <c r="C236" s="5" t="s">
        <v>1961</v>
      </c>
      <c r="D236" s="5"/>
      <c r="E236" s="5"/>
      <c r="F236" s="5"/>
      <c r="G236" s="5">
        <v>871.32162070000004</v>
      </c>
      <c r="H236" s="5">
        <v>98.890481516395894</v>
      </c>
      <c r="I236" s="19">
        <f>VLOOKUP("Couche de base",'Taux unitaires'!$B$9:$C$11,2,FALSE)</f>
        <v>200</v>
      </c>
      <c r="J236" s="19">
        <f>VLOOKUP("Revêtement de route",'Taux unitaires'!$B$9:$C$11,2,FALSE)</f>
        <v>101</v>
      </c>
      <c r="K236" s="19">
        <f t="shared" si="31"/>
        <v>174264.32414000001</v>
      </c>
      <c r="L236" s="19">
        <f t="shared" si="32"/>
        <v>88003.483690699999</v>
      </c>
      <c r="M236" s="19">
        <f t="shared" si="33"/>
        <v>176006.9673814</v>
      </c>
      <c r="N236" s="19">
        <f t="shared" si="34"/>
        <v>350271.29152139998</v>
      </c>
      <c r="O236" s="5">
        <f>VLOOKUP(C236,'Durée de vie utile'!$B$15:$E$18,4,FALSE)</f>
        <v>125</v>
      </c>
      <c r="P236" s="5">
        <f>VLOOKUP(C236,'Durée de vie utile'!$B$15:$E$18,3,FALSE)</f>
        <v>100</v>
      </c>
      <c r="Q236" s="5">
        <f>VLOOKUP(C236,'Durée de vie utile'!$B$26:$E$29,4,FALSE)</f>
        <v>50</v>
      </c>
      <c r="R236" s="5">
        <f>VLOOKUP(C236,'Durée de vie utile'!$B$26:$E$29,3,FALSE)</f>
        <v>30</v>
      </c>
      <c r="S236" s="6">
        <f t="shared" si="35"/>
        <v>3502.7129152139996</v>
      </c>
      <c r="T236" s="6">
        <f>(N236/(1+'Autres hypothèses'!$D$5))*('Autres hypothèses'!$D$5/(((1+'Autres hypothèses'!$D$5)^Routes!P236-1)))</f>
        <v>2034.258831943868</v>
      </c>
      <c r="U236" s="5">
        <v>2014</v>
      </c>
      <c r="V236" s="5">
        <f t="shared" si="27"/>
        <v>8</v>
      </c>
      <c r="W236" s="1">
        <f t="shared" si="28"/>
        <v>0.08</v>
      </c>
      <c r="X236" s="3">
        <f t="shared" si="29"/>
        <v>16</v>
      </c>
      <c r="Y236" s="3">
        <f t="shared" si="30"/>
        <v>184</v>
      </c>
    </row>
    <row r="237" spans="1:25" x14ac:dyDescent="0.25">
      <c r="A237" s="20" t="s">
        <v>707</v>
      </c>
      <c r="B237" s="5" t="s">
        <v>1962</v>
      </c>
      <c r="C237" s="5" t="s">
        <v>1963</v>
      </c>
      <c r="D237" s="5"/>
      <c r="E237" s="5"/>
      <c r="F237" s="5"/>
      <c r="G237" s="5">
        <v>711.9</v>
      </c>
      <c r="H237" s="5">
        <v>52.4</v>
      </c>
      <c r="I237" s="19">
        <f>VLOOKUP("Couche de base",'Taux unitaires'!$B$9:$C$11,2,FALSE)</f>
        <v>200</v>
      </c>
      <c r="J237" s="19">
        <f>VLOOKUP("Revêtement de route",'Taux unitaires'!$B$9:$C$11,2,FALSE)</f>
        <v>101</v>
      </c>
      <c r="K237" s="19">
        <f t="shared" si="31"/>
        <v>142380</v>
      </c>
      <c r="L237" s="19">
        <f t="shared" si="32"/>
        <v>71901.899999999994</v>
      </c>
      <c r="M237" s="19">
        <f t="shared" si="33"/>
        <v>143803.79999999999</v>
      </c>
      <c r="N237" s="19">
        <f t="shared" si="34"/>
        <v>286183.8</v>
      </c>
      <c r="O237" s="5">
        <f>VLOOKUP(C237,'Durée de vie utile'!$B$15:$E$18,4,FALSE)</f>
        <v>125</v>
      </c>
      <c r="P237" s="5">
        <f>VLOOKUP(C237,'Durée de vie utile'!$B$15:$E$18,3,FALSE)</f>
        <v>100</v>
      </c>
      <c r="Q237" s="5">
        <f>VLOOKUP(C237,'Durée de vie utile'!$B$26:$E$29,4,FALSE)</f>
        <v>50</v>
      </c>
      <c r="R237" s="5">
        <f>VLOOKUP(C237,'Durée de vie utile'!$B$26:$E$29,3,FALSE)</f>
        <v>30</v>
      </c>
      <c r="S237" s="6">
        <f t="shared" si="35"/>
        <v>2861.8379999999997</v>
      </c>
      <c r="T237" s="6">
        <f>(N237/(1+'Autres hypothèses'!$D$5))*('Autres hypothèses'!$D$5/(((1+'Autres hypothèses'!$D$5)^Routes!P237-1)))</f>
        <v>1662.0600568793388</v>
      </c>
      <c r="U237" s="5">
        <v>2005</v>
      </c>
      <c r="V237" s="5">
        <f t="shared" si="27"/>
        <v>17</v>
      </c>
      <c r="W237" s="1">
        <f t="shared" si="28"/>
        <v>0.17</v>
      </c>
      <c r="X237" s="3">
        <f t="shared" si="29"/>
        <v>34</v>
      </c>
      <c r="Y237" s="3">
        <f t="shared" si="30"/>
        <v>166</v>
      </c>
    </row>
    <row r="238" spans="1:25" x14ac:dyDescent="0.25">
      <c r="A238" s="20" t="s">
        <v>708</v>
      </c>
      <c r="B238" s="5" t="s">
        <v>1964</v>
      </c>
      <c r="C238" s="5" t="s">
        <v>1965</v>
      </c>
      <c r="D238" s="5"/>
      <c r="E238" s="5"/>
      <c r="F238" s="5"/>
      <c r="G238" s="5">
        <v>489.4</v>
      </c>
      <c r="H238" s="5">
        <v>29.3</v>
      </c>
      <c r="I238" s="19">
        <f>VLOOKUP("Couche de base",'Taux unitaires'!$B$9:$C$11,2,FALSE)</f>
        <v>200</v>
      </c>
      <c r="J238" s="19">
        <f>VLOOKUP("Revêtement de route",'Taux unitaires'!$B$9:$C$11,2,FALSE)</f>
        <v>101</v>
      </c>
      <c r="K238" s="19">
        <f t="shared" si="31"/>
        <v>97880</v>
      </c>
      <c r="L238" s="19">
        <f t="shared" si="32"/>
        <v>49429.399999999994</v>
      </c>
      <c r="M238" s="19">
        <f t="shared" si="33"/>
        <v>98858.799999999988</v>
      </c>
      <c r="N238" s="19">
        <f t="shared" si="34"/>
        <v>196738.8</v>
      </c>
      <c r="O238" s="5">
        <f>VLOOKUP(C238,'Durée de vie utile'!$B$15:$E$18,4,FALSE)</f>
        <v>100</v>
      </c>
      <c r="P238" s="5">
        <f>VLOOKUP(C238,'Durée de vie utile'!$B$15:$E$18,3,FALSE)</f>
        <v>80</v>
      </c>
      <c r="Q238" s="5">
        <f>VLOOKUP(C238,'Durée de vie utile'!$B$26:$E$29,4,FALSE)</f>
        <v>40</v>
      </c>
      <c r="R238" s="5">
        <f>VLOOKUP(C238,'Durée de vie utile'!$B$26:$E$29,3,FALSE)</f>
        <v>25</v>
      </c>
      <c r="S238" s="6">
        <f t="shared" si="35"/>
        <v>2459.2349999999997</v>
      </c>
      <c r="T238" s="6">
        <f>(N238/(1+'Autres hypothèses'!$D$5))*('Autres hypothèses'!$D$5/(((1+'Autres hypothèses'!$D$5)^Routes!P238-1)))</f>
        <v>1600.9571371869256</v>
      </c>
      <c r="U238" s="5">
        <v>2005</v>
      </c>
      <c r="V238" s="5">
        <f t="shared" si="27"/>
        <v>17</v>
      </c>
      <c r="W238" s="1">
        <f t="shared" si="28"/>
        <v>0.21249999999999999</v>
      </c>
      <c r="X238" s="3">
        <f t="shared" si="29"/>
        <v>42.5</v>
      </c>
      <c r="Y238" s="3">
        <f t="shared" si="30"/>
        <v>157.5</v>
      </c>
    </row>
    <row r="239" spans="1:25" x14ac:dyDescent="0.25">
      <c r="A239" s="20" t="s">
        <v>709</v>
      </c>
      <c r="B239" s="5" t="s">
        <v>1966</v>
      </c>
      <c r="C239" s="5" t="s">
        <v>1967</v>
      </c>
      <c r="D239" s="5"/>
      <c r="E239" s="5"/>
      <c r="F239" s="5"/>
      <c r="G239" s="5">
        <v>1514.90024298</v>
      </c>
      <c r="H239" s="5">
        <v>131.800339431373</v>
      </c>
      <c r="I239" s="19">
        <f>VLOOKUP("Couche de base",'Taux unitaires'!$B$9:$C$11,2,FALSE)</f>
        <v>200</v>
      </c>
      <c r="J239" s="19">
        <f>VLOOKUP("Revêtement de route",'Taux unitaires'!$B$9:$C$11,2,FALSE)</f>
        <v>101</v>
      </c>
      <c r="K239" s="19">
        <f t="shared" si="31"/>
        <v>302980.04859600001</v>
      </c>
      <c r="L239" s="19">
        <f t="shared" si="32"/>
        <v>153004.92454097999</v>
      </c>
      <c r="M239" s="19">
        <f t="shared" si="33"/>
        <v>306009.84908195998</v>
      </c>
      <c r="N239" s="19">
        <f t="shared" si="34"/>
        <v>608989.89767795999</v>
      </c>
      <c r="O239" s="5">
        <f>VLOOKUP(C239,'Durée de vie utile'!$B$15:$E$18,4,FALSE)</f>
        <v>100</v>
      </c>
      <c r="P239" s="5">
        <f>VLOOKUP(C239,'Durée de vie utile'!$B$15:$E$18,3,FALSE)</f>
        <v>80</v>
      </c>
      <c r="Q239" s="5">
        <f>VLOOKUP(C239,'Durée de vie utile'!$B$26:$E$29,4,FALSE)</f>
        <v>40</v>
      </c>
      <c r="R239" s="5">
        <f>VLOOKUP(C239,'Durée de vie utile'!$B$26:$E$29,3,FALSE)</f>
        <v>25</v>
      </c>
      <c r="S239" s="6">
        <f t="shared" si="35"/>
        <v>7612.3737209744995</v>
      </c>
      <c r="T239" s="6">
        <f>(N239/(1+'Autres hypothèses'!$D$5))*('Autres hypothèses'!$D$5/(((1+'Autres hypothèses'!$D$5)^Routes!P239-1)))</f>
        <v>4955.6402863200628</v>
      </c>
      <c r="U239" s="5">
        <v>2014</v>
      </c>
      <c r="V239" s="5">
        <f t="shared" si="27"/>
        <v>8</v>
      </c>
      <c r="W239" s="1">
        <f t="shared" si="28"/>
        <v>0.1</v>
      </c>
      <c r="X239" s="3">
        <f t="shared" si="29"/>
        <v>20</v>
      </c>
      <c r="Y239" s="3">
        <f t="shared" si="30"/>
        <v>180</v>
      </c>
    </row>
    <row r="240" spans="1:25" x14ac:dyDescent="0.25">
      <c r="A240" s="20" t="s">
        <v>710</v>
      </c>
      <c r="B240" s="5" t="s">
        <v>1968</v>
      </c>
      <c r="C240" s="5" t="s">
        <v>1969</v>
      </c>
      <c r="D240" s="5"/>
      <c r="E240" s="5"/>
      <c r="F240" s="5"/>
      <c r="G240" s="5">
        <v>835.19031989999905</v>
      </c>
      <c r="H240" s="5">
        <v>92.861838948427902</v>
      </c>
      <c r="I240" s="19">
        <f>VLOOKUP("Couche de base",'Taux unitaires'!$B$9:$C$11,2,FALSE)</f>
        <v>200</v>
      </c>
      <c r="J240" s="19">
        <f>VLOOKUP("Revêtement de route",'Taux unitaires'!$B$9:$C$11,2,FALSE)</f>
        <v>101</v>
      </c>
      <c r="K240" s="19">
        <f t="shared" si="31"/>
        <v>167038.0639799998</v>
      </c>
      <c r="L240" s="19">
        <f t="shared" si="32"/>
        <v>84354.222309899909</v>
      </c>
      <c r="M240" s="19">
        <f t="shared" si="33"/>
        <v>168708.44461979982</v>
      </c>
      <c r="N240" s="19">
        <f t="shared" si="34"/>
        <v>335746.50859979959</v>
      </c>
      <c r="O240" s="5">
        <f>VLOOKUP(C240,'Durée de vie utile'!$B$15:$E$18,4,FALSE)</f>
        <v>100</v>
      </c>
      <c r="P240" s="5">
        <f>VLOOKUP(C240,'Durée de vie utile'!$B$15:$E$18,3,FALSE)</f>
        <v>80</v>
      </c>
      <c r="Q240" s="5">
        <f>VLOOKUP(C240,'Durée de vie utile'!$B$26:$E$29,4,FALSE)</f>
        <v>40</v>
      </c>
      <c r="R240" s="5">
        <f>VLOOKUP(C240,'Durée de vie utile'!$B$26:$E$29,3,FALSE)</f>
        <v>25</v>
      </c>
      <c r="S240" s="6">
        <f t="shared" si="35"/>
        <v>4196.8313574974945</v>
      </c>
      <c r="T240" s="6">
        <f>(N240/(1+'Autres hypothèses'!$D$5))*('Autres hypothèses'!$D$5/(((1+'Autres hypothèses'!$D$5)^Routes!P240-1)))</f>
        <v>2732.1289406484166</v>
      </c>
      <c r="U240" s="5">
        <v>2015</v>
      </c>
      <c r="V240" s="5">
        <f t="shared" si="27"/>
        <v>7</v>
      </c>
      <c r="W240" s="1">
        <f t="shared" si="28"/>
        <v>8.7499999999999994E-2</v>
      </c>
      <c r="X240" s="3">
        <f t="shared" si="29"/>
        <v>17.5</v>
      </c>
      <c r="Y240" s="3">
        <f t="shared" si="30"/>
        <v>182.5</v>
      </c>
    </row>
    <row r="241" spans="1:25" x14ac:dyDescent="0.25">
      <c r="A241" s="20" t="s">
        <v>711</v>
      </c>
      <c r="B241" s="5" t="s">
        <v>1970</v>
      </c>
      <c r="C241" s="5" t="s">
        <v>1971</v>
      </c>
      <c r="D241" s="5"/>
      <c r="E241" s="5"/>
      <c r="F241" s="5"/>
      <c r="G241" s="5">
        <v>2877.5468469900002</v>
      </c>
      <c r="H241" s="5">
        <v>242.00906820662601</v>
      </c>
      <c r="I241" s="19">
        <f>VLOOKUP("Couche de base",'Taux unitaires'!$B$9:$C$11,2,FALSE)</f>
        <v>200</v>
      </c>
      <c r="J241" s="19">
        <f>VLOOKUP("Revêtement de route",'Taux unitaires'!$B$9:$C$11,2,FALSE)</f>
        <v>101</v>
      </c>
      <c r="K241" s="19">
        <f t="shared" si="31"/>
        <v>575509.36939800007</v>
      </c>
      <c r="L241" s="19">
        <f t="shared" si="32"/>
        <v>290632.23154599004</v>
      </c>
      <c r="M241" s="19">
        <f t="shared" si="33"/>
        <v>581264.46309198008</v>
      </c>
      <c r="N241" s="19">
        <f t="shared" si="34"/>
        <v>1156773.8324899802</v>
      </c>
      <c r="O241" s="5">
        <f>VLOOKUP(C241,'Durée de vie utile'!$B$15:$E$18,4,FALSE)</f>
        <v>125</v>
      </c>
      <c r="P241" s="5">
        <f>VLOOKUP(C241,'Durée de vie utile'!$B$15:$E$18,3,FALSE)</f>
        <v>100</v>
      </c>
      <c r="Q241" s="5">
        <f>VLOOKUP(C241,'Durée de vie utile'!$B$26:$E$29,4,FALSE)</f>
        <v>50</v>
      </c>
      <c r="R241" s="5">
        <f>VLOOKUP(C241,'Durée de vie utile'!$B$26:$E$29,3,FALSE)</f>
        <v>30</v>
      </c>
      <c r="S241" s="6">
        <f t="shared" si="35"/>
        <v>11567.738324899801</v>
      </c>
      <c r="T241" s="6">
        <f>(N241/(1+'Autres hypothèses'!$D$5))*('Autres hypothèses'!$D$5/(((1+'Autres hypothèses'!$D$5)^Routes!P241-1)))</f>
        <v>6718.1565896631018</v>
      </c>
      <c r="U241" s="5">
        <v>2017</v>
      </c>
      <c r="V241" s="5">
        <f t="shared" si="27"/>
        <v>5</v>
      </c>
      <c r="W241" s="1">
        <f t="shared" si="28"/>
        <v>0.05</v>
      </c>
      <c r="X241" s="3">
        <f t="shared" si="29"/>
        <v>10</v>
      </c>
      <c r="Y241" s="3">
        <f t="shared" si="30"/>
        <v>190</v>
      </c>
    </row>
    <row r="242" spans="1:25" x14ac:dyDescent="0.25">
      <c r="A242" s="20" t="s">
        <v>712</v>
      </c>
      <c r="B242" s="5" t="s">
        <v>1972</v>
      </c>
      <c r="C242" s="5" t="s">
        <v>1973</v>
      </c>
      <c r="D242" s="5"/>
      <c r="E242" s="5"/>
      <c r="F242" s="5"/>
      <c r="G242" s="5">
        <v>625.1</v>
      </c>
      <c r="H242" s="5">
        <v>48.5</v>
      </c>
      <c r="I242" s="19">
        <f>VLOOKUP("Couche de base",'Taux unitaires'!$B$9:$C$11,2,FALSE)</f>
        <v>200</v>
      </c>
      <c r="J242" s="19">
        <f>VLOOKUP("Revêtement de route",'Taux unitaires'!$B$9:$C$11,2,FALSE)</f>
        <v>101</v>
      </c>
      <c r="K242" s="19">
        <f t="shared" si="31"/>
        <v>125020</v>
      </c>
      <c r="L242" s="19">
        <f t="shared" si="32"/>
        <v>63135.100000000006</v>
      </c>
      <c r="M242" s="19">
        <f t="shared" si="33"/>
        <v>126270.20000000001</v>
      </c>
      <c r="N242" s="19">
        <f t="shared" si="34"/>
        <v>251290.2</v>
      </c>
      <c r="O242" s="5">
        <f>VLOOKUP(C242,'Durée de vie utile'!$B$15:$E$18,4,FALSE)</f>
        <v>125</v>
      </c>
      <c r="P242" s="5">
        <f>VLOOKUP(C242,'Durée de vie utile'!$B$15:$E$18,3,FALSE)</f>
        <v>100</v>
      </c>
      <c r="Q242" s="5">
        <f>VLOOKUP(C242,'Durée de vie utile'!$B$26:$E$29,4,FALSE)</f>
        <v>50</v>
      </c>
      <c r="R242" s="5">
        <f>VLOOKUP(C242,'Durée de vie utile'!$B$26:$E$29,3,FALSE)</f>
        <v>30</v>
      </c>
      <c r="S242" s="6">
        <f t="shared" si="35"/>
        <v>2512.902</v>
      </c>
      <c r="T242" s="6">
        <f>(N242/(1+'Autres hypothèses'!$D$5))*('Autres hypothèses'!$D$5/(((1+'Autres hypothèses'!$D$5)^Routes!P242-1)))</f>
        <v>1459.4096664633721</v>
      </c>
      <c r="U242" s="5">
        <v>2015</v>
      </c>
      <c r="V242" s="5">
        <f t="shared" si="27"/>
        <v>7</v>
      </c>
      <c r="W242" s="1">
        <f t="shared" si="28"/>
        <v>7.0000000000000007E-2</v>
      </c>
      <c r="X242" s="3">
        <f t="shared" si="29"/>
        <v>14.000000000000002</v>
      </c>
      <c r="Y242" s="3">
        <f t="shared" si="30"/>
        <v>186</v>
      </c>
    </row>
    <row r="243" spans="1:25" x14ac:dyDescent="0.25">
      <c r="A243" s="20" t="s">
        <v>713</v>
      </c>
      <c r="B243" s="5" t="s">
        <v>1974</v>
      </c>
      <c r="C243" s="5" t="s">
        <v>1975</v>
      </c>
      <c r="D243" s="5"/>
      <c r="E243" s="5"/>
      <c r="F243" s="5"/>
      <c r="G243" s="5">
        <v>1224.44415477999</v>
      </c>
      <c r="H243" s="5">
        <v>104.587938249318</v>
      </c>
      <c r="I243" s="19">
        <f>VLOOKUP("Couche de base",'Taux unitaires'!$B$9:$C$11,2,FALSE)</f>
        <v>200</v>
      </c>
      <c r="J243" s="19">
        <f>VLOOKUP("Revêtement de route",'Taux unitaires'!$B$9:$C$11,2,FALSE)</f>
        <v>101</v>
      </c>
      <c r="K243" s="19">
        <f t="shared" si="31"/>
        <v>244888.83095599798</v>
      </c>
      <c r="L243" s="19">
        <f t="shared" si="32"/>
        <v>123668.85963277899</v>
      </c>
      <c r="M243" s="19">
        <f t="shared" si="33"/>
        <v>247337.71926555797</v>
      </c>
      <c r="N243" s="19">
        <f t="shared" si="34"/>
        <v>492226.55022155598</v>
      </c>
      <c r="O243" s="5">
        <f>VLOOKUP(C243,'Durée de vie utile'!$B$15:$E$18,4,FALSE)</f>
        <v>125</v>
      </c>
      <c r="P243" s="5">
        <f>VLOOKUP(C243,'Durée de vie utile'!$B$15:$E$18,3,FALSE)</f>
        <v>100</v>
      </c>
      <c r="Q243" s="5">
        <f>VLOOKUP(C243,'Durée de vie utile'!$B$26:$E$29,4,FALSE)</f>
        <v>50</v>
      </c>
      <c r="R243" s="5">
        <f>VLOOKUP(C243,'Durée de vie utile'!$B$26:$E$29,3,FALSE)</f>
        <v>30</v>
      </c>
      <c r="S243" s="6">
        <f t="shared" si="35"/>
        <v>4922.2655022155595</v>
      </c>
      <c r="T243" s="6">
        <f>(N243/(1+'Autres hypothèses'!$D$5))*('Autres hypothèses'!$D$5/(((1+'Autres hypothèses'!$D$5)^Routes!P243-1)))</f>
        <v>2858.6876268284927</v>
      </c>
      <c r="U243" s="5">
        <v>2017</v>
      </c>
      <c r="V243" s="5">
        <f t="shared" si="27"/>
        <v>5</v>
      </c>
      <c r="W243" s="1">
        <f t="shared" si="28"/>
        <v>0.05</v>
      </c>
      <c r="X243" s="3">
        <f t="shared" si="29"/>
        <v>10</v>
      </c>
      <c r="Y243" s="3">
        <f t="shared" si="30"/>
        <v>190</v>
      </c>
    </row>
    <row r="244" spans="1:25" x14ac:dyDescent="0.25">
      <c r="A244" s="20" t="s">
        <v>714</v>
      </c>
      <c r="B244" s="5" t="s">
        <v>1976</v>
      </c>
      <c r="C244" s="5" t="s">
        <v>1977</v>
      </c>
      <c r="D244" s="5"/>
      <c r="E244" s="5"/>
      <c r="F244" s="5"/>
      <c r="G244" s="5">
        <v>2188.6170065900001</v>
      </c>
      <c r="H244" s="5">
        <v>179.466594558232</v>
      </c>
      <c r="I244" s="19">
        <f>VLOOKUP("Couche de base",'Taux unitaires'!$B$9:$C$11,2,FALSE)</f>
        <v>200</v>
      </c>
      <c r="J244" s="19">
        <f>VLOOKUP("Revêtement de route",'Taux unitaires'!$B$9:$C$11,2,FALSE)</f>
        <v>101</v>
      </c>
      <c r="K244" s="19">
        <f t="shared" si="31"/>
        <v>437723.40131799999</v>
      </c>
      <c r="L244" s="19">
        <f t="shared" si="32"/>
        <v>221050.31766559</v>
      </c>
      <c r="M244" s="19">
        <f t="shared" si="33"/>
        <v>442100.63533118</v>
      </c>
      <c r="N244" s="19">
        <f t="shared" si="34"/>
        <v>879824.03664917999</v>
      </c>
      <c r="O244" s="5">
        <f>VLOOKUP(C244,'Durée de vie utile'!$B$15:$E$18,4,FALSE)</f>
        <v>125</v>
      </c>
      <c r="P244" s="5">
        <f>VLOOKUP(C244,'Durée de vie utile'!$B$15:$E$18,3,FALSE)</f>
        <v>100</v>
      </c>
      <c r="Q244" s="5">
        <f>VLOOKUP(C244,'Durée de vie utile'!$B$26:$E$29,4,FALSE)</f>
        <v>50</v>
      </c>
      <c r="R244" s="5">
        <f>VLOOKUP(C244,'Durée de vie utile'!$B$26:$E$29,3,FALSE)</f>
        <v>30</v>
      </c>
      <c r="S244" s="6">
        <f t="shared" si="35"/>
        <v>8798.2403664918002</v>
      </c>
      <c r="T244" s="6">
        <f>(N244/(1+'Autres hypothèses'!$D$5))*('Autres hypothèses'!$D$5/(((1+'Autres hypothèses'!$D$5)^Routes!P244-1)))</f>
        <v>5109.7245490378755</v>
      </c>
      <c r="U244" s="5">
        <v>2017</v>
      </c>
      <c r="V244" s="5">
        <f t="shared" si="27"/>
        <v>5</v>
      </c>
      <c r="W244" s="1">
        <f t="shared" si="28"/>
        <v>0.05</v>
      </c>
      <c r="X244" s="3">
        <f t="shared" si="29"/>
        <v>10</v>
      </c>
      <c r="Y244" s="3">
        <f t="shared" si="30"/>
        <v>190</v>
      </c>
    </row>
    <row r="245" spans="1:25" x14ac:dyDescent="0.25">
      <c r="A245" s="20" t="s">
        <v>715</v>
      </c>
      <c r="B245" s="5" t="s">
        <v>1978</v>
      </c>
      <c r="C245" s="5" t="s">
        <v>1979</v>
      </c>
      <c r="D245" s="5"/>
      <c r="E245" s="5"/>
      <c r="F245" s="5"/>
      <c r="G245" s="5">
        <v>2117.1</v>
      </c>
      <c r="H245" s="5">
        <v>176.4</v>
      </c>
      <c r="I245" s="19">
        <f>VLOOKUP("Couche de base",'Taux unitaires'!$B$9:$C$11,2,FALSE)</f>
        <v>200</v>
      </c>
      <c r="J245" s="19">
        <f>VLOOKUP("Revêtement de route",'Taux unitaires'!$B$9:$C$11,2,FALSE)</f>
        <v>101</v>
      </c>
      <c r="K245" s="19">
        <f t="shared" si="31"/>
        <v>423420</v>
      </c>
      <c r="L245" s="19">
        <f t="shared" si="32"/>
        <v>213827.09999999998</v>
      </c>
      <c r="M245" s="19">
        <f t="shared" si="33"/>
        <v>427654.19999999995</v>
      </c>
      <c r="N245" s="19">
        <f t="shared" si="34"/>
        <v>851074.2</v>
      </c>
      <c r="O245" s="5">
        <f>VLOOKUP(C245,'Durée de vie utile'!$B$15:$E$18,4,FALSE)</f>
        <v>125</v>
      </c>
      <c r="P245" s="5">
        <f>VLOOKUP(C245,'Durée de vie utile'!$B$15:$E$18,3,FALSE)</f>
        <v>100</v>
      </c>
      <c r="Q245" s="5">
        <f>VLOOKUP(C245,'Durée de vie utile'!$B$26:$E$29,4,FALSE)</f>
        <v>50</v>
      </c>
      <c r="R245" s="5">
        <f>VLOOKUP(C245,'Durée de vie utile'!$B$26:$E$29,3,FALSE)</f>
        <v>30</v>
      </c>
      <c r="S245" s="6">
        <f t="shared" si="35"/>
        <v>8510.7420000000002</v>
      </c>
      <c r="T245" s="6">
        <f>(N245/(1+'Autres hypothèses'!$D$5))*('Autres hypothèses'!$D$5/(((1+'Autres hypothèses'!$D$5)^Routes!P245-1)))</f>
        <v>4942.7550869774523</v>
      </c>
      <c r="U245" s="5">
        <v>2017</v>
      </c>
      <c r="V245" s="5">
        <f t="shared" si="27"/>
        <v>5</v>
      </c>
      <c r="W245" s="1">
        <f t="shared" si="28"/>
        <v>0.05</v>
      </c>
      <c r="X245" s="3">
        <f t="shared" si="29"/>
        <v>10</v>
      </c>
      <c r="Y245" s="3">
        <f t="shared" si="30"/>
        <v>190</v>
      </c>
    </row>
    <row r="246" spans="1:25" x14ac:dyDescent="0.25">
      <c r="A246" s="20" t="s">
        <v>716</v>
      </c>
      <c r="B246" s="5" t="s">
        <v>1980</v>
      </c>
      <c r="C246" s="5" t="s">
        <v>1981</v>
      </c>
      <c r="D246" s="5"/>
      <c r="E246" s="5"/>
      <c r="F246" s="5"/>
      <c r="G246" s="5">
        <v>1171.5999999999999</v>
      </c>
      <c r="H246" s="5">
        <v>69.7</v>
      </c>
      <c r="I246" s="19">
        <f>VLOOKUP("Couche de base",'Taux unitaires'!$B$9:$C$11,2,FALSE)</f>
        <v>200</v>
      </c>
      <c r="J246" s="19">
        <f>VLOOKUP("Revêtement de route",'Taux unitaires'!$B$9:$C$11,2,FALSE)</f>
        <v>101</v>
      </c>
      <c r="K246" s="19">
        <f t="shared" si="31"/>
        <v>234319.99999999997</v>
      </c>
      <c r="L246" s="19">
        <f t="shared" si="32"/>
        <v>118331.59999999999</v>
      </c>
      <c r="M246" s="19">
        <f t="shared" si="33"/>
        <v>236663.19999999998</v>
      </c>
      <c r="N246" s="19">
        <f t="shared" si="34"/>
        <v>470983.19999999995</v>
      </c>
      <c r="O246" s="5">
        <f>VLOOKUP(C246,'Durée de vie utile'!$B$15:$E$18,4,FALSE)</f>
        <v>125</v>
      </c>
      <c r="P246" s="5">
        <f>VLOOKUP(C246,'Durée de vie utile'!$B$15:$E$18,3,FALSE)</f>
        <v>100</v>
      </c>
      <c r="Q246" s="5">
        <f>VLOOKUP(C246,'Durée de vie utile'!$B$26:$E$29,4,FALSE)</f>
        <v>50</v>
      </c>
      <c r="R246" s="5">
        <f>VLOOKUP(C246,'Durée de vie utile'!$B$26:$E$29,3,FALSE)</f>
        <v>30</v>
      </c>
      <c r="S246" s="6">
        <f t="shared" si="35"/>
        <v>4709.8319999999994</v>
      </c>
      <c r="T246" s="6">
        <f>(N246/(1+'Autres hypothèses'!$D$5))*('Autres hypothèses'!$D$5/(((1+'Autres hypothèses'!$D$5)^Routes!P246-1)))</f>
        <v>2735.3133342321016</v>
      </c>
      <c r="U246" s="5">
        <v>2017</v>
      </c>
      <c r="V246" s="5">
        <f t="shared" si="27"/>
        <v>5</v>
      </c>
      <c r="W246" s="1">
        <f t="shared" si="28"/>
        <v>0.05</v>
      </c>
      <c r="X246" s="3">
        <f t="shared" si="29"/>
        <v>10</v>
      </c>
      <c r="Y246" s="3">
        <f t="shared" si="30"/>
        <v>190</v>
      </c>
    </row>
    <row r="247" spans="1:25" x14ac:dyDescent="0.25">
      <c r="A247" s="20" t="s">
        <v>717</v>
      </c>
      <c r="B247" s="5" t="s">
        <v>1982</v>
      </c>
      <c r="C247" s="5" t="s">
        <v>1983</v>
      </c>
      <c r="D247" s="5"/>
      <c r="E247" s="5"/>
      <c r="F247" s="5"/>
      <c r="G247" s="5">
        <v>374.56937442999902</v>
      </c>
      <c r="H247" s="5">
        <v>48.560772679409503</v>
      </c>
      <c r="I247" s="19">
        <f>VLOOKUP("Couche de base",'Taux unitaires'!$B$9:$C$11,2,FALSE)</f>
        <v>200</v>
      </c>
      <c r="J247" s="19">
        <f>VLOOKUP("Revêtement de route",'Taux unitaires'!$B$9:$C$11,2,FALSE)</f>
        <v>101</v>
      </c>
      <c r="K247" s="19">
        <f t="shared" si="31"/>
        <v>74913.874885999801</v>
      </c>
      <c r="L247" s="19">
        <f t="shared" si="32"/>
        <v>37831.506817429901</v>
      </c>
      <c r="M247" s="19">
        <f t="shared" si="33"/>
        <v>75663.013634859803</v>
      </c>
      <c r="N247" s="19">
        <f t="shared" si="34"/>
        <v>150576.88852085959</v>
      </c>
      <c r="O247" s="5">
        <f>VLOOKUP(C247,'Durée de vie utile'!$B$15:$E$18,4,FALSE)</f>
        <v>125</v>
      </c>
      <c r="P247" s="5">
        <f>VLOOKUP(C247,'Durée de vie utile'!$B$15:$E$18,3,FALSE)</f>
        <v>100</v>
      </c>
      <c r="Q247" s="5">
        <f>VLOOKUP(C247,'Durée de vie utile'!$B$26:$E$29,4,FALSE)</f>
        <v>50</v>
      </c>
      <c r="R247" s="5">
        <f>VLOOKUP(C247,'Durée de vie utile'!$B$26:$E$29,3,FALSE)</f>
        <v>30</v>
      </c>
      <c r="S247" s="6">
        <f t="shared" si="35"/>
        <v>1505.768885208596</v>
      </c>
      <c r="T247" s="6">
        <f>(N247/(1+'Autres hypothèses'!$D$5))*('Autres hypothèses'!$D$5/(((1+'Autres hypothèses'!$D$5)^Routes!P247-1)))</f>
        <v>874.50034523160889</v>
      </c>
      <c r="U247" s="5">
        <v>2017</v>
      </c>
      <c r="V247" s="5">
        <f t="shared" si="27"/>
        <v>5</v>
      </c>
      <c r="W247" s="1">
        <f t="shared" si="28"/>
        <v>0.05</v>
      </c>
      <c r="X247" s="3">
        <f t="shared" si="29"/>
        <v>10</v>
      </c>
      <c r="Y247" s="3">
        <f t="shared" si="30"/>
        <v>190</v>
      </c>
    </row>
    <row r="248" spans="1:25" x14ac:dyDescent="0.25">
      <c r="A248" s="20" t="s">
        <v>718</v>
      </c>
      <c r="B248" s="5" t="s">
        <v>1984</v>
      </c>
      <c r="C248" s="5" t="s">
        <v>1985</v>
      </c>
      <c r="D248" s="5"/>
      <c r="E248" s="5"/>
      <c r="F248" s="5"/>
      <c r="G248" s="5">
        <v>1194.3338685599899</v>
      </c>
      <c r="H248" s="5">
        <v>104.743718994088</v>
      </c>
      <c r="I248" s="19">
        <f>VLOOKUP("Couche de base",'Taux unitaires'!$B$9:$C$11,2,FALSE)</f>
        <v>200</v>
      </c>
      <c r="J248" s="19">
        <f>VLOOKUP("Revêtement de route",'Taux unitaires'!$B$9:$C$11,2,FALSE)</f>
        <v>101</v>
      </c>
      <c r="K248" s="19">
        <f t="shared" si="31"/>
        <v>238866.77371199799</v>
      </c>
      <c r="L248" s="19">
        <f t="shared" si="32"/>
        <v>120627.72072455898</v>
      </c>
      <c r="M248" s="19">
        <f t="shared" si="33"/>
        <v>241255.44144911796</v>
      </c>
      <c r="N248" s="19">
        <f t="shared" si="34"/>
        <v>480122.21516111598</v>
      </c>
      <c r="O248" s="5">
        <f>VLOOKUP(C248,'Durée de vie utile'!$B$15:$E$18,4,FALSE)</f>
        <v>125</v>
      </c>
      <c r="P248" s="5">
        <f>VLOOKUP(C248,'Durée de vie utile'!$B$15:$E$18,3,FALSE)</f>
        <v>100</v>
      </c>
      <c r="Q248" s="5">
        <f>VLOOKUP(C248,'Durée de vie utile'!$B$26:$E$29,4,FALSE)</f>
        <v>50</v>
      </c>
      <c r="R248" s="5">
        <f>VLOOKUP(C248,'Durée de vie utile'!$B$26:$E$29,3,FALSE)</f>
        <v>30</v>
      </c>
      <c r="S248" s="6">
        <f t="shared" si="35"/>
        <v>4801.2221516111595</v>
      </c>
      <c r="T248" s="6">
        <f>(N248/(1+'Autres hypothèses'!$D$5))*('Autres hypothèses'!$D$5/(((1+'Autres hypothèses'!$D$5)^Routes!P248-1)))</f>
        <v>2788.3896860678997</v>
      </c>
      <c r="U248" s="5">
        <v>2012</v>
      </c>
      <c r="V248" s="5">
        <f t="shared" si="27"/>
        <v>10</v>
      </c>
      <c r="W248" s="1">
        <f t="shared" si="28"/>
        <v>0.1</v>
      </c>
      <c r="X248" s="3">
        <f t="shared" si="29"/>
        <v>20</v>
      </c>
      <c r="Y248" s="3">
        <f t="shared" si="30"/>
        <v>180</v>
      </c>
    </row>
    <row r="249" spans="1:25" x14ac:dyDescent="0.25">
      <c r="A249" s="20" t="s">
        <v>719</v>
      </c>
      <c r="B249" s="5" t="s">
        <v>1986</v>
      </c>
      <c r="C249" s="5" t="s">
        <v>1987</v>
      </c>
      <c r="D249" s="5"/>
      <c r="E249" s="5"/>
      <c r="F249" s="5"/>
      <c r="G249" s="5">
        <v>2377.9538019800002</v>
      </c>
      <c r="H249" s="5">
        <v>199.99201210480501</v>
      </c>
      <c r="I249" s="19">
        <f>VLOOKUP("Couche de base",'Taux unitaires'!$B$9:$C$11,2,FALSE)</f>
        <v>200</v>
      </c>
      <c r="J249" s="19">
        <f>VLOOKUP("Revêtement de route",'Taux unitaires'!$B$9:$C$11,2,FALSE)</f>
        <v>101</v>
      </c>
      <c r="K249" s="19">
        <f t="shared" si="31"/>
        <v>475590.76039600006</v>
      </c>
      <c r="L249" s="19">
        <f t="shared" si="32"/>
        <v>240173.33399998001</v>
      </c>
      <c r="M249" s="19">
        <f t="shared" si="33"/>
        <v>480346.66799996002</v>
      </c>
      <c r="N249" s="19">
        <f t="shared" si="34"/>
        <v>955937.42839596001</v>
      </c>
      <c r="O249" s="5">
        <f>VLOOKUP(C249,'Durée de vie utile'!$B$15:$E$18,4,FALSE)</f>
        <v>125</v>
      </c>
      <c r="P249" s="5">
        <f>VLOOKUP(C249,'Durée de vie utile'!$B$15:$E$18,3,FALSE)</f>
        <v>100</v>
      </c>
      <c r="Q249" s="5">
        <f>VLOOKUP(C249,'Durée de vie utile'!$B$26:$E$29,4,FALSE)</f>
        <v>50</v>
      </c>
      <c r="R249" s="5">
        <f>VLOOKUP(C249,'Durée de vie utile'!$B$26:$E$29,3,FALSE)</f>
        <v>30</v>
      </c>
      <c r="S249" s="6">
        <f t="shared" si="35"/>
        <v>9559.3742839595998</v>
      </c>
      <c r="T249" s="6">
        <f>(N249/(1+'Autres hypothèses'!$D$5))*('Autres hypothèses'!$D$5/(((1+'Autres hypothèses'!$D$5)^Routes!P249-1)))</f>
        <v>5551.7657415020631</v>
      </c>
      <c r="U249" s="5">
        <v>2012</v>
      </c>
      <c r="V249" s="5">
        <f t="shared" si="27"/>
        <v>10</v>
      </c>
      <c r="W249" s="1">
        <f t="shared" si="28"/>
        <v>0.1</v>
      </c>
      <c r="X249" s="3">
        <f t="shared" si="29"/>
        <v>20</v>
      </c>
      <c r="Y249" s="3">
        <f t="shared" si="30"/>
        <v>180</v>
      </c>
    </row>
    <row r="250" spans="1:25" x14ac:dyDescent="0.25">
      <c r="A250" s="20" t="s">
        <v>720</v>
      </c>
      <c r="B250" s="5" t="s">
        <v>1988</v>
      </c>
      <c r="C250" s="5" t="s">
        <v>1989</v>
      </c>
      <c r="D250" s="5"/>
      <c r="E250" s="5"/>
      <c r="F250" s="5"/>
      <c r="G250" s="5">
        <v>681.6</v>
      </c>
      <c r="H250" s="5">
        <v>50.8</v>
      </c>
      <c r="I250" s="19">
        <f>VLOOKUP("Couche de base",'Taux unitaires'!$B$9:$C$11,2,FALSE)</f>
        <v>200</v>
      </c>
      <c r="J250" s="19">
        <f>VLOOKUP("Revêtement de route",'Taux unitaires'!$B$9:$C$11,2,FALSE)</f>
        <v>101</v>
      </c>
      <c r="K250" s="19">
        <f t="shared" si="31"/>
        <v>136320</v>
      </c>
      <c r="L250" s="19">
        <f t="shared" si="32"/>
        <v>68841.600000000006</v>
      </c>
      <c r="M250" s="19">
        <f t="shared" si="33"/>
        <v>137683.20000000001</v>
      </c>
      <c r="N250" s="19">
        <f t="shared" si="34"/>
        <v>274003.20000000001</v>
      </c>
      <c r="O250" s="5">
        <f>VLOOKUP(C250,'Durée de vie utile'!$B$15:$E$18,4,FALSE)</f>
        <v>125</v>
      </c>
      <c r="P250" s="5">
        <f>VLOOKUP(C250,'Durée de vie utile'!$B$15:$E$18,3,FALSE)</f>
        <v>100</v>
      </c>
      <c r="Q250" s="5">
        <f>VLOOKUP(C250,'Durée de vie utile'!$B$26:$E$29,4,FALSE)</f>
        <v>50</v>
      </c>
      <c r="R250" s="5">
        <f>VLOOKUP(C250,'Durée de vie utile'!$B$26:$E$29,3,FALSE)</f>
        <v>30</v>
      </c>
      <c r="S250" s="6">
        <f t="shared" si="35"/>
        <v>2740.0320000000002</v>
      </c>
      <c r="T250" s="6">
        <f>(N250/(1+'Autres hypothèses'!$D$5))*('Autres hypothèses'!$D$5/(((1+'Autres hypothèses'!$D$5)^Routes!P250-1)))</f>
        <v>1591.3191947871294</v>
      </c>
      <c r="U250" s="5">
        <v>2019</v>
      </c>
      <c r="V250" s="5">
        <f t="shared" si="27"/>
        <v>3</v>
      </c>
      <c r="W250" s="1">
        <f t="shared" si="28"/>
        <v>0.03</v>
      </c>
      <c r="X250" s="3">
        <f t="shared" si="29"/>
        <v>6</v>
      </c>
      <c r="Y250" s="3">
        <f t="shared" si="30"/>
        <v>194</v>
      </c>
    </row>
    <row r="252" spans="1:25" x14ac:dyDescent="0.25">
      <c r="C252" s="3"/>
      <c r="D252" s="3"/>
      <c r="E252" s="3"/>
      <c r="F252" s="3"/>
      <c r="I252" s="3"/>
      <c r="K252" s="3">
        <f>SUM(K2:K251)</f>
        <v>89018787.034421906</v>
      </c>
      <c r="L252" s="3">
        <f>SUM(L2:L251)</f>
        <v>44954487.452383071</v>
      </c>
      <c r="M252" s="3">
        <f>SUM(M2:M251)</f>
        <v>84111419.964300096</v>
      </c>
      <c r="N252" s="3">
        <f>SUM(N2:N251)</f>
        <v>173130206.99872196</v>
      </c>
      <c r="S252" s="3">
        <f>SUM(S2:S251)</f>
        <v>1943063.4969355657</v>
      </c>
      <c r="T252" s="3">
        <f>SUM(T2:T251)</f>
        <v>1204602.8334889461</v>
      </c>
    </row>
  </sheetData>
  <autoFilter ref="A1:Y250" xr:uid="{DFE7A23D-94B0-440C-9A1E-12B5DA2583D0}"/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7EB4-DDAD-4206-907C-33EEE3C6FF19}">
  <dimension ref="A1:O2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9.140625" defaultRowHeight="15" x14ac:dyDescent="0.2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4" width="11.5703125" bestFit="1" customWidth="1"/>
    <col min="15" max="15" width="14.7109375" bestFit="1" customWidth="1"/>
  </cols>
  <sheetData>
    <row r="1" spans="1:15" ht="46.5" customHeight="1" x14ac:dyDescent="0.25">
      <c r="A1" s="8" t="s">
        <v>1990</v>
      </c>
      <c r="B1" s="8" t="s">
        <v>1991</v>
      </c>
      <c r="C1" s="8" t="s">
        <v>158</v>
      </c>
      <c r="D1" s="8" t="s">
        <v>1992</v>
      </c>
      <c r="E1" s="9" t="s">
        <v>160</v>
      </c>
      <c r="F1" s="9" t="s">
        <v>1993</v>
      </c>
      <c r="G1" s="8" t="s">
        <v>1994</v>
      </c>
      <c r="H1" s="8" t="s">
        <v>1995</v>
      </c>
      <c r="I1" s="9" t="s">
        <v>1996</v>
      </c>
      <c r="J1" s="9" t="s">
        <v>1997</v>
      </c>
      <c r="K1" s="8" t="s">
        <v>1998</v>
      </c>
      <c r="L1" s="8" t="s">
        <v>1999</v>
      </c>
      <c r="M1" s="9" t="s">
        <v>2000</v>
      </c>
      <c r="N1" s="9" t="s">
        <v>2001</v>
      </c>
      <c r="O1" s="9" t="s">
        <v>2002</v>
      </c>
    </row>
    <row r="2" spans="1:15" x14ac:dyDescent="0.25">
      <c r="A2" s="15" t="s">
        <v>721</v>
      </c>
      <c r="B2" s="5" t="s">
        <v>143</v>
      </c>
      <c r="C2" s="5">
        <v>200</v>
      </c>
      <c r="D2" s="5">
        <v>51.800000000000004</v>
      </c>
      <c r="E2" s="7">
        <f>VLOOKUP(C2,'Taux unitaires'!E:F,2,FALSE)</f>
        <v>1550</v>
      </c>
      <c r="F2" s="6">
        <f>D2*E2</f>
        <v>80290</v>
      </c>
      <c r="G2" s="5">
        <f>VLOOKUP(B2,'Durée de vie utile'!$C$1:$E$6,3,FALSE)</f>
        <v>125</v>
      </c>
      <c r="H2" s="5">
        <f>VLOOKUP(B2,'Durée de vie utile'!$C$1:$E$6,2,FALSE)</f>
        <v>90</v>
      </c>
      <c r="I2" s="6">
        <f>F2/H2</f>
        <v>892.11111111111109</v>
      </c>
      <c r="J2" s="6">
        <f>(F2/(1+'Autres hypothèses'!$D$5))*('Autres hypothèses'!$D$5/(((1+'Autres hypothèses'!$D$5)^'Conduite princ. - égout pluvial'!H2-1)))</f>
        <v>548.75919131287253</v>
      </c>
      <c r="K2" s="5">
        <v>1953</v>
      </c>
      <c r="L2" s="5">
        <f t="shared" ref="L2:L65" si="0">2022-K2</f>
        <v>69</v>
      </c>
      <c r="M2" s="1">
        <f t="shared" ref="M2:M65" si="1">L2/H2</f>
        <v>0.76666666666666672</v>
      </c>
      <c r="N2" s="3">
        <f t="shared" ref="N2:N65" si="2">M2*F2</f>
        <v>61555.666666666672</v>
      </c>
      <c r="O2" s="3">
        <f t="shared" ref="O2:O65" si="3">F2-N2</f>
        <v>18734.333333333328</v>
      </c>
    </row>
    <row r="3" spans="1:15" x14ac:dyDescent="0.25">
      <c r="A3" s="15" t="s">
        <v>722</v>
      </c>
      <c r="B3" s="5" t="s">
        <v>139</v>
      </c>
      <c r="C3" s="5">
        <v>200</v>
      </c>
      <c r="D3" s="5">
        <v>4.5999999999999996</v>
      </c>
      <c r="E3" s="7">
        <f>VLOOKUP(C3,'Taux unitaires'!E:F,2,FALSE)</f>
        <v>1550</v>
      </c>
      <c r="F3" s="6">
        <f t="shared" ref="F3:F66" si="4">D3*E3</f>
        <v>7129.9999999999991</v>
      </c>
      <c r="G3" s="5">
        <f>VLOOKUP(B3,'Durée de vie utile'!$C$1:$E$6,3,FALSE)</f>
        <v>125</v>
      </c>
      <c r="H3" s="5">
        <f>VLOOKUP(B3,'Durée de vie utile'!$C$1:$E$6,2,FALSE)</f>
        <v>80</v>
      </c>
      <c r="I3" s="6">
        <f t="shared" ref="I3:I66" si="5">F3/H3</f>
        <v>89.124999999999986</v>
      </c>
      <c r="J3" s="6">
        <f>(F3/(1+'Autres hypothèses'!$D$5))*('Autres hypothèses'!$D$5/(((1+'Autres hypothèses'!$D$5)^'Conduite princ. - égout pluvial'!H3-1)))</f>
        <v>58.020199310673746</v>
      </c>
      <c r="K3" s="5">
        <v>1953</v>
      </c>
      <c r="L3" s="5">
        <f t="shared" si="0"/>
        <v>69</v>
      </c>
      <c r="M3" s="1">
        <f t="shared" si="1"/>
        <v>0.86250000000000004</v>
      </c>
      <c r="N3" s="3">
        <f t="shared" si="2"/>
        <v>6149.6249999999991</v>
      </c>
      <c r="O3" s="3">
        <f t="shared" si="3"/>
        <v>980.375</v>
      </c>
    </row>
    <row r="4" spans="1:15" x14ac:dyDescent="0.25">
      <c r="A4" s="15" t="s">
        <v>723</v>
      </c>
      <c r="B4" s="5" t="s">
        <v>141</v>
      </c>
      <c r="C4" s="5">
        <v>200</v>
      </c>
      <c r="D4" s="5">
        <v>29.400000000000002</v>
      </c>
      <c r="E4" s="7">
        <f>VLOOKUP(C4,'Taux unitaires'!E:F,2,FALSE)</f>
        <v>1550</v>
      </c>
      <c r="F4" s="6">
        <f t="shared" si="4"/>
        <v>45570</v>
      </c>
      <c r="G4" s="5">
        <f>VLOOKUP(B4,'Durée de vie utile'!$C$1:$E$6,3,FALSE)</f>
        <v>100</v>
      </c>
      <c r="H4" s="5">
        <f>VLOOKUP(B4,'Durée de vie utile'!$C$1:$E$6,2,FALSE)</f>
        <v>70</v>
      </c>
      <c r="I4" s="6">
        <f t="shared" si="5"/>
        <v>651</v>
      </c>
      <c r="J4" s="6">
        <f>(F4/(1+'Autres hypothèses'!$D$5))*('Autres hypothèses'!$D$5/(((1+'Autres hypothèses'!$D$5)^'Conduite princ. - égout pluvial'!H4-1)))</f>
        <v>448.15706746561557</v>
      </c>
      <c r="K4" s="5">
        <v>1954</v>
      </c>
      <c r="L4" s="5">
        <f t="shared" si="0"/>
        <v>68</v>
      </c>
      <c r="M4" s="1">
        <f t="shared" si="1"/>
        <v>0.97142857142857142</v>
      </c>
      <c r="N4" s="3">
        <f t="shared" si="2"/>
        <v>44268</v>
      </c>
      <c r="O4" s="3">
        <f t="shared" si="3"/>
        <v>1302</v>
      </c>
    </row>
    <row r="5" spans="1:15" x14ac:dyDescent="0.25">
      <c r="A5" s="15" t="s">
        <v>724</v>
      </c>
      <c r="B5" s="5" t="s">
        <v>2003</v>
      </c>
      <c r="C5" s="5">
        <v>450</v>
      </c>
      <c r="D5" s="5">
        <v>80.8</v>
      </c>
      <c r="E5" s="7">
        <f>VLOOKUP(C5,'Taux unitaires'!E:F,2,FALSE)</f>
        <v>1700</v>
      </c>
      <c r="F5" s="6">
        <f t="shared" si="4"/>
        <v>137360</v>
      </c>
      <c r="G5" s="5">
        <f>VLOOKUP(B5,'Durée de vie utile'!$C$1:$E$6,3,FALSE)</f>
        <v>125</v>
      </c>
      <c r="H5" s="5">
        <f>VLOOKUP(B5,'Durée de vie utile'!$C$1:$E$6,2,FALSE)</f>
        <v>80</v>
      </c>
      <c r="I5" s="6">
        <f t="shared" si="5"/>
        <v>1717</v>
      </c>
      <c r="J5" s="6">
        <f>(F5/(1+'Autres hypothèses'!$D$5))*('Autres hypothèses'!$D$5/(((1+'Autres hypothèses'!$D$5)^'Conduite princ. - égout pluvial'!H5-1)))</f>
        <v>1117.7636153315773</v>
      </c>
      <c r="K5" s="5">
        <v>1956</v>
      </c>
      <c r="L5" s="5">
        <f t="shared" si="0"/>
        <v>66</v>
      </c>
      <c r="M5" s="1">
        <f t="shared" si="1"/>
        <v>0.82499999999999996</v>
      </c>
      <c r="N5" s="3">
        <f t="shared" si="2"/>
        <v>113322</v>
      </c>
      <c r="O5" s="3">
        <f t="shared" si="3"/>
        <v>24038</v>
      </c>
    </row>
    <row r="6" spans="1:15" x14ac:dyDescent="0.25">
      <c r="A6" s="15" t="s">
        <v>725</v>
      </c>
      <c r="B6" s="5" t="s">
        <v>2004</v>
      </c>
      <c r="C6" s="5">
        <v>450</v>
      </c>
      <c r="D6" s="5">
        <v>26.400000000000002</v>
      </c>
      <c r="E6" s="7">
        <f>VLOOKUP(C6,'Taux unitaires'!E:F,2,FALSE)</f>
        <v>1700</v>
      </c>
      <c r="F6" s="6">
        <f t="shared" si="4"/>
        <v>44880</v>
      </c>
      <c r="G6" s="5">
        <f>VLOOKUP(B6,'Durée de vie utile'!$C$1:$E$6,3,FALSE)</f>
        <v>100</v>
      </c>
      <c r="H6" s="5">
        <f>VLOOKUP(B6,'Durée de vie utile'!$C$1:$E$6,2,FALSE)</f>
        <v>70</v>
      </c>
      <c r="I6" s="6">
        <f t="shared" si="5"/>
        <v>641.14285714285711</v>
      </c>
      <c r="J6" s="6">
        <f>(F6/(1+'Autres hypothèses'!$D$5))*('Autres hypothèses'!$D$5/(((1+'Autres hypothèses'!$D$5)^'Conduite princ. - égout pluvial'!H6-1)))</f>
        <v>441.37127908397684</v>
      </c>
      <c r="K6" s="5">
        <v>1956</v>
      </c>
      <c r="L6" s="5">
        <f t="shared" si="0"/>
        <v>66</v>
      </c>
      <c r="M6" s="1">
        <f t="shared" si="1"/>
        <v>0.94285714285714284</v>
      </c>
      <c r="N6" s="3">
        <f t="shared" si="2"/>
        <v>42315.428571428572</v>
      </c>
      <c r="O6" s="3">
        <f t="shared" si="3"/>
        <v>2564.5714285714275</v>
      </c>
    </row>
    <row r="7" spans="1:15" x14ac:dyDescent="0.25">
      <c r="A7" s="15" t="s">
        <v>726</v>
      </c>
      <c r="B7" s="5" t="s">
        <v>137</v>
      </c>
      <c r="C7" s="5">
        <v>450</v>
      </c>
      <c r="D7" s="5">
        <v>71</v>
      </c>
      <c r="E7" s="7">
        <f>VLOOKUP(C7,'Taux unitaires'!E:F,2,FALSE)</f>
        <v>1700</v>
      </c>
      <c r="F7" s="6">
        <f t="shared" si="4"/>
        <v>120700</v>
      </c>
      <c r="G7" s="5">
        <f>VLOOKUP(B7,'Durée de vie utile'!$C$1:$E$6,3,FALSE)</f>
        <v>100</v>
      </c>
      <c r="H7" s="5">
        <f>VLOOKUP(B7,'Durée de vie utile'!$C$1:$E$6,2,FALSE)</f>
        <v>80</v>
      </c>
      <c r="I7" s="6">
        <f t="shared" si="5"/>
        <v>1508.75</v>
      </c>
      <c r="J7" s="6">
        <f>(F7/(1+'Autres hypothèses'!$D$5))*('Autres hypothèses'!$D$5/(((1+'Autres hypothèses'!$D$5)^'Conduite princ. - égout pluvial'!H7-1)))</f>
        <v>982.19327584829193</v>
      </c>
      <c r="K7" s="5">
        <v>1956</v>
      </c>
      <c r="L7" s="5">
        <f t="shared" si="0"/>
        <v>66</v>
      </c>
      <c r="M7" s="1">
        <f t="shared" si="1"/>
        <v>0.82499999999999996</v>
      </c>
      <c r="N7" s="3">
        <f t="shared" si="2"/>
        <v>99577.5</v>
      </c>
      <c r="O7" s="3">
        <f t="shared" si="3"/>
        <v>21122.5</v>
      </c>
    </row>
    <row r="8" spans="1:15" x14ac:dyDescent="0.25">
      <c r="A8" s="15" t="s">
        <v>727</v>
      </c>
      <c r="B8" s="5" t="s">
        <v>2005</v>
      </c>
      <c r="C8" s="5">
        <v>200</v>
      </c>
      <c r="D8" s="5">
        <v>42</v>
      </c>
      <c r="E8" s="7">
        <f>VLOOKUP(C8,'Taux unitaires'!E:F,2,FALSE)</f>
        <v>1550</v>
      </c>
      <c r="F8" s="6">
        <f t="shared" si="4"/>
        <v>65100</v>
      </c>
      <c r="G8" s="5">
        <f>VLOOKUP(B8,'Durée de vie utile'!$C$1:$E$6,3,FALSE)</f>
        <v>100</v>
      </c>
      <c r="H8" s="5">
        <f>VLOOKUP(B8,'Durée de vie utile'!$C$1:$E$6,2,FALSE)</f>
        <v>80</v>
      </c>
      <c r="I8" s="6">
        <f t="shared" si="5"/>
        <v>813.75</v>
      </c>
      <c r="J8" s="6">
        <f>(F8/(1+'Autres hypothèses'!$D$5))*('Autres hypothèses'!$D$5/(((1+'Autres hypothèses'!$D$5)^'Conduite princ. - égout pluvial'!H8-1)))</f>
        <v>529.74964588006469</v>
      </c>
      <c r="K8" s="5">
        <v>1956</v>
      </c>
      <c r="L8" s="5">
        <f t="shared" si="0"/>
        <v>66</v>
      </c>
      <c r="M8" s="1">
        <f t="shared" si="1"/>
        <v>0.82499999999999996</v>
      </c>
      <c r="N8" s="3">
        <f t="shared" si="2"/>
        <v>53707.5</v>
      </c>
      <c r="O8" s="3">
        <f t="shared" si="3"/>
        <v>11392.5</v>
      </c>
    </row>
    <row r="9" spans="1:15" x14ac:dyDescent="0.25">
      <c r="A9" s="15" t="s">
        <v>728</v>
      </c>
      <c r="B9" s="5" t="s">
        <v>2006</v>
      </c>
      <c r="C9" s="5">
        <v>375</v>
      </c>
      <c r="D9" s="5">
        <v>96.199999999999989</v>
      </c>
      <c r="E9" s="7">
        <f>VLOOKUP(C9,'Taux unitaires'!E:F,2,FALSE)</f>
        <v>1650</v>
      </c>
      <c r="F9" s="6">
        <f t="shared" si="4"/>
        <v>158729.99999999997</v>
      </c>
      <c r="G9" s="5">
        <f>VLOOKUP(B9,'Durée de vie utile'!$C$1:$E$6,3,FALSE)</f>
        <v>125</v>
      </c>
      <c r="H9" s="5">
        <f>VLOOKUP(B9,'Durée de vie utile'!$C$1:$E$6,2,FALSE)</f>
        <v>90</v>
      </c>
      <c r="I9" s="6">
        <f t="shared" si="5"/>
        <v>1763.6666666666663</v>
      </c>
      <c r="J9" s="6">
        <f>(F9/(1+'Autres hypothèses'!$D$5))*('Autres hypothèses'!$D$5/(((1+'Autres hypothèses'!$D$5)^'Conduite princ. - égout pluvial'!H9-1)))</f>
        <v>1084.8741616277523</v>
      </c>
      <c r="K9" s="5">
        <v>1953</v>
      </c>
      <c r="L9" s="5">
        <f t="shared" si="0"/>
        <v>69</v>
      </c>
      <c r="M9" s="1">
        <f t="shared" si="1"/>
        <v>0.76666666666666672</v>
      </c>
      <c r="N9" s="3">
        <f t="shared" si="2"/>
        <v>121692.99999999999</v>
      </c>
      <c r="O9" s="3">
        <f t="shared" si="3"/>
        <v>37036.999999999985</v>
      </c>
    </row>
    <row r="10" spans="1:15" x14ac:dyDescent="0.25">
      <c r="A10" s="15" t="s">
        <v>729</v>
      </c>
      <c r="B10" s="5" t="s">
        <v>2007</v>
      </c>
      <c r="C10" s="5">
        <v>450</v>
      </c>
      <c r="D10" s="5">
        <v>78.599999999999994</v>
      </c>
      <c r="E10" s="7">
        <f>VLOOKUP(C10,'Taux unitaires'!E:F,2,FALSE)</f>
        <v>1700</v>
      </c>
      <c r="F10" s="6">
        <f t="shared" si="4"/>
        <v>133620</v>
      </c>
      <c r="G10" s="5">
        <f>VLOOKUP(B10,'Durée de vie utile'!$C$1:$E$6,3,FALSE)</f>
        <v>100</v>
      </c>
      <c r="H10" s="5">
        <f>VLOOKUP(B10,'Durée de vie utile'!$C$1:$E$6,2,FALSE)</f>
        <v>80</v>
      </c>
      <c r="I10" s="6">
        <f t="shared" si="5"/>
        <v>1670.25</v>
      </c>
      <c r="J10" s="6">
        <f>(F10/(1+'Autres hypothèses'!$D$5))*('Autres hypothèses'!$D$5/(((1+'Autres hypothèses'!$D$5)^'Conduite princ. - égout pluvial'!H10-1)))</f>
        <v>1087.3294574883907</v>
      </c>
      <c r="K10" s="5">
        <v>1953</v>
      </c>
      <c r="L10" s="5">
        <f t="shared" si="0"/>
        <v>69</v>
      </c>
      <c r="M10" s="1">
        <f t="shared" si="1"/>
        <v>0.86250000000000004</v>
      </c>
      <c r="N10" s="3">
        <f t="shared" si="2"/>
        <v>115247.25</v>
      </c>
      <c r="O10" s="3">
        <f t="shared" si="3"/>
        <v>18372.75</v>
      </c>
    </row>
    <row r="11" spans="1:15" x14ac:dyDescent="0.25">
      <c r="A11" s="15" t="s">
        <v>730</v>
      </c>
      <c r="B11" s="5" t="s">
        <v>2008</v>
      </c>
      <c r="C11" s="5">
        <v>300</v>
      </c>
      <c r="D11" s="5">
        <v>82.5</v>
      </c>
      <c r="E11" s="7">
        <f>VLOOKUP(C11,'Taux unitaires'!E:F,2,FALSE)</f>
        <v>1650</v>
      </c>
      <c r="F11" s="6">
        <f t="shared" si="4"/>
        <v>136125</v>
      </c>
      <c r="G11" s="5">
        <f>VLOOKUP(B11,'Durée de vie utile'!$C$1:$E$6,3,FALSE)</f>
        <v>100</v>
      </c>
      <c r="H11" s="5">
        <f>VLOOKUP(B11,'Durée de vie utile'!$C$1:$E$6,2,FALSE)</f>
        <v>80</v>
      </c>
      <c r="I11" s="6">
        <f t="shared" si="5"/>
        <v>1701.5625</v>
      </c>
      <c r="J11" s="6">
        <f>(F11/(1+'Autres hypothèses'!$D$5))*('Autres hypothèses'!$D$5/(((1+'Autres hypothèses'!$D$5)^'Conduite princ. - égout pluvial'!H11-1)))</f>
        <v>1107.7138332630384</v>
      </c>
      <c r="K11" s="5">
        <v>1958</v>
      </c>
      <c r="L11" s="5">
        <f t="shared" si="0"/>
        <v>64</v>
      </c>
      <c r="M11" s="1">
        <f t="shared" si="1"/>
        <v>0.8</v>
      </c>
      <c r="N11" s="3">
        <f t="shared" si="2"/>
        <v>108900</v>
      </c>
      <c r="O11" s="3">
        <f t="shared" si="3"/>
        <v>27225</v>
      </c>
    </row>
    <row r="12" spans="1:15" x14ac:dyDescent="0.25">
      <c r="A12" s="15" t="s">
        <v>731</v>
      </c>
      <c r="B12" s="5" t="s">
        <v>2009</v>
      </c>
      <c r="C12" s="5">
        <v>300</v>
      </c>
      <c r="D12" s="5">
        <v>13.7</v>
      </c>
      <c r="E12" s="7">
        <f>VLOOKUP(C12,'Taux unitaires'!E:F,2,FALSE)</f>
        <v>1650</v>
      </c>
      <c r="F12" s="6">
        <f t="shared" si="4"/>
        <v>22605</v>
      </c>
      <c r="G12" s="5">
        <f>VLOOKUP(B12,'Durée de vie utile'!$C$1:$E$6,3,FALSE)</f>
        <v>125</v>
      </c>
      <c r="H12" s="5">
        <f>VLOOKUP(B12,'Durée de vie utile'!$C$1:$E$6,2,FALSE)</f>
        <v>80</v>
      </c>
      <c r="I12" s="6">
        <f t="shared" si="5"/>
        <v>282.5625</v>
      </c>
      <c r="J12" s="6">
        <f>(F12/(1+'Autres hypothèses'!$D$5))*('Autres hypothèses'!$D$5/(((1+'Autres hypothèses'!$D$5)^'Conduite princ. - égout pluvial'!H12-1)))</f>
        <v>183.94763049337732</v>
      </c>
      <c r="K12" s="5">
        <v>1953</v>
      </c>
      <c r="L12" s="5">
        <f t="shared" si="0"/>
        <v>69</v>
      </c>
      <c r="M12" s="1">
        <f t="shared" si="1"/>
        <v>0.86250000000000004</v>
      </c>
      <c r="N12" s="3">
        <f t="shared" si="2"/>
        <v>19496.8125</v>
      </c>
      <c r="O12" s="3">
        <f t="shared" si="3"/>
        <v>3108.1875</v>
      </c>
    </row>
    <row r="13" spans="1:15" x14ac:dyDescent="0.25">
      <c r="A13" s="15" t="s">
        <v>732</v>
      </c>
      <c r="B13" s="5" t="s">
        <v>2010</v>
      </c>
      <c r="C13" s="5">
        <v>300</v>
      </c>
      <c r="D13" s="5">
        <v>35.5</v>
      </c>
      <c r="E13" s="7">
        <f>VLOOKUP(C13,'Taux unitaires'!E:F,2,FALSE)</f>
        <v>1650</v>
      </c>
      <c r="F13" s="6">
        <f t="shared" si="4"/>
        <v>58575</v>
      </c>
      <c r="G13" s="5">
        <f>VLOOKUP(B13,'Durée de vie utile'!$C$1:$E$6,3,FALSE)</f>
        <v>100</v>
      </c>
      <c r="H13" s="5">
        <f>VLOOKUP(B13,'Durée de vie utile'!$C$1:$E$6,2,FALSE)</f>
        <v>70</v>
      </c>
      <c r="I13" s="6">
        <f t="shared" si="5"/>
        <v>836.78571428571433</v>
      </c>
      <c r="J13" s="6">
        <f>(F13/(1+'Autres hypothèses'!$D$5))*('Autres hypothèses'!$D$5/(((1+'Autres hypothèses'!$D$5)^'Conduite princ. - égout pluvial'!H13-1)))</f>
        <v>576.05442674563153</v>
      </c>
      <c r="K13" s="5">
        <v>1958</v>
      </c>
      <c r="L13" s="5">
        <f t="shared" si="0"/>
        <v>64</v>
      </c>
      <c r="M13" s="1">
        <f t="shared" si="1"/>
        <v>0.91428571428571426</v>
      </c>
      <c r="N13" s="3">
        <f t="shared" si="2"/>
        <v>53554.28571428571</v>
      </c>
      <c r="O13" s="3">
        <f t="shared" si="3"/>
        <v>5020.7142857142899</v>
      </c>
    </row>
    <row r="14" spans="1:15" x14ac:dyDescent="0.25">
      <c r="A14" s="15" t="s">
        <v>733</v>
      </c>
      <c r="B14" s="5" t="s">
        <v>2011</v>
      </c>
      <c r="C14" s="5">
        <v>450</v>
      </c>
      <c r="D14" s="5">
        <v>8.6</v>
      </c>
      <c r="E14" s="7">
        <f>VLOOKUP(C14,'Taux unitaires'!E:F,2,FALSE)</f>
        <v>1700</v>
      </c>
      <c r="F14" s="6">
        <f t="shared" si="4"/>
        <v>14620</v>
      </c>
      <c r="G14" s="5">
        <f>VLOOKUP(B14,'Durée de vie utile'!$C$1:$E$6,3,FALSE)</f>
        <v>100</v>
      </c>
      <c r="H14" s="5">
        <f>VLOOKUP(B14,'Durée de vie utile'!$C$1:$E$6,2,FALSE)</f>
        <v>80</v>
      </c>
      <c r="I14" s="6">
        <f t="shared" si="5"/>
        <v>182.75</v>
      </c>
      <c r="J14" s="6">
        <f>(F14/(1+'Autres hypothèses'!$D$5))*('Autres hypothèses'!$D$5/(((1+'Autres hypothèses'!$D$5)^'Conduite princ. - égout pluvial'!H14-1)))</f>
        <v>118.96988975063817</v>
      </c>
      <c r="K14" s="5">
        <v>1956</v>
      </c>
      <c r="L14" s="5">
        <f t="shared" si="0"/>
        <v>66</v>
      </c>
      <c r="M14" s="1">
        <f t="shared" si="1"/>
        <v>0.82499999999999996</v>
      </c>
      <c r="N14" s="3">
        <f t="shared" si="2"/>
        <v>12061.5</v>
      </c>
      <c r="O14" s="3">
        <f t="shared" si="3"/>
        <v>2558.5</v>
      </c>
    </row>
    <row r="15" spans="1:15" x14ac:dyDescent="0.25">
      <c r="A15" s="15" t="s">
        <v>734</v>
      </c>
      <c r="B15" s="5" t="s">
        <v>2012</v>
      </c>
      <c r="C15" s="5">
        <v>300</v>
      </c>
      <c r="D15" s="5">
        <v>39.700000000000003</v>
      </c>
      <c r="E15" s="7">
        <f>VLOOKUP(C15,'Taux unitaires'!E:F,2,FALSE)</f>
        <v>1650</v>
      </c>
      <c r="F15" s="6">
        <f t="shared" si="4"/>
        <v>65505.000000000007</v>
      </c>
      <c r="G15" s="5">
        <f>VLOOKUP(B15,'Durée de vie utile'!$C$1:$E$6,3,FALSE)</f>
        <v>100</v>
      </c>
      <c r="H15" s="5">
        <f>VLOOKUP(B15,'Durée de vie utile'!$C$1:$E$6,2,FALSE)</f>
        <v>80</v>
      </c>
      <c r="I15" s="6">
        <f t="shared" si="5"/>
        <v>818.81250000000011</v>
      </c>
      <c r="J15" s="6">
        <f>(F15/(1+'Autres hypothèses'!$D$5))*('Autres hypothèses'!$D$5/(((1+'Autres hypothèses'!$D$5)^'Conduite princ. - égout pluvial'!H15-1)))</f>
        <v>533.04532340051674</v>
      </c>
      <c r="K15" s="5">
        <v>1956</v>
      </c>
      <c r="L15" s="5">
        <f t="shared" si="0"/>
        <v>66</v>
      </c>
      <c r="M15" s="1">
        <f t="shared" si="1"/>
        <v>0.82499999999999996</v>
      </c>
      <c r="N15" s="3">
        <f t="shared" si="2"/>
        <v>54041.625</v>
      </c>
      <c r="O15" s="3">
        <f t="shared" si="3"/>
        <v>11463.375000000007</v>
      </c>
    </row>
    <row r="16" spans="1:15" x14ac:dyDescent="0.25">
      <c r="A16" s="15" t="s">
        <v>735</v>
      </c>
      <c r="B16" s="5" t="s">
        <v>2013</v>
      </c>
      <c r="C16" s="5">
        <v>375</v>
      </c>
      <c r="D16" s="5">
        <v>26.1</v>
      </c>
      <c r="E16" s="7">
        <f>VLOOKUP(C16,'Taux unitaires'!E:F,2,FALSE)</f>
        <v>1650</v>
      </c>
      <c r="F16" s="6">
        <f t="shared" si="4"/>
        <v>43065</v>
      </c>
      <c r="G16" s="5">
        <f>VLOOKUP(B16,'Durée de vie utile'!$C$1:$E$6,3,FALSE)</f>
        <v>100</v>
      </c>
      <c r="H16" s="5">
        <f>VLOOKUP(B16,'Durée de vie utile'!$C$1:$E$6,2,FALSE)</f>
        <v>80</v>
      </c>
      <c r="I16" s="6">
        <f t="shared" si="5"/>
        <v>538.3125</v>
      </c>
      <c r="J16" s="6">
        <f>(F16/(1+'Autres hypothèses'!$D$5))*('Autres hypothèses'!$D$5/(((1+'Autres hypothèses'!$D$5)^'Conduite princ. - égout pluvial'!H16-1)))</f>
        <v>350.44037634139761</v>
      </c>
      <c r="K16" s="5">
        <v>1956</v>
      </c>
      <c r="L16" s="5">
        <f t="shared" si="0"/>
        <v>66</v>
      </c>
      <c r="M16" s="1">
        <f t="shared" si="1"/>
        <v>0.82499999999999996</v>
      </c>
      <c r="N16" s="3">
        <f t="shared" si="2"/>
        <v>35528.625</v>
      </c>
      <c r="O16" s="3">
        <f t="shared" si="3"/>
        <v>7536.375</v>
      </c>
    </row>
    <row r="17" spans="1:15" x14ac:dyDescent="0.25">
      <c r="A17" s="15" t="s">
        <v>736</v>
      </c>
      <c r="B17" s="5" t="s">
        <v>2014</v>
      </c>
      <c r="C17" s="5">
        <v>200</v>
      </c>
      <c r="D17" s="5">
        <v>86.199999999999989</v>
      </c>
      <c r="E17" s="7">
        <f>VLOOKUP(C17,'Taux unitaires'!E:F,2,FALSE)</f>
        <v>1550</v>
      </c>
      <c r="F17" s="6">
        <f t="shared" si="4"/>
        <v>133609.99999999997</v>
      </c>
      <c r="G17" s="5">
        <f>VLOOKUP(B17,'Durée de vie utile'!$C$1:$E$6,3,FALSE)</f>
        <v>100</v>
      </c>
      <c r="H17" s="5">
        <f>VLOOKUP(B17,'Durée de vie utile'!$C$1:$E$6,2,FALSE)</f>
        <v>80</v>
      </c>
      <c r="I17" s="6">
        <f t="shared" si="5"/>
        <v>1670.1249999999995</v>
      </c>
      <c r="J17" s="6">
        <f>(F17/(1+'Autres hypothèses'!$D$5))*('Autres hypothèses'!$D$5/(((1+'Autres hypothèses'!$D$5)^'Conduite princ. - égout pluvial'!H17-1)))</f>
        <v>1087.2480827347993</v>
      </c>
      <c r="K17" s="5">
        <v>1956</v>
      </c>
      <c r="L17" s="5">
        <f t="shared" si="0"/>
        <v>66</v>
      </c>
      <c r="M17" s="1">
        <f t="shared" si="1"/>
        <v>0.82499999999999996</v>
      </c>
      <c r="N17" s="3">
        <f t="shared" si="2"/>
        <v>110228.24999999997</v>
      </c>
      <c r="O17" s="3">
        <f t="shared" si="3"/>
        <v>23381.75</v>
      </c>
    </row>
    <row r="18" spans="1:15" x14ac:dyDescent="0.25">
      <c r="A18" s="15" t="s">
        <v>737</v>
      </c>
      <c r="B18" s="5" t="s">
        <v>2015</v>
      </c>
      <c r="C18" s="5">
        <v>300</v>
      </c>
      <c r="D18" s="5">
        <v>3.9</v>
      </c>
      <c r="E18" s="7">
        <f>VLOOKUP(C18,'Taux unitaires'!E:F,2,FALSE)</f>
        <v>1650</v>
      </c>
      <c r="F18" s="6">
        <f t="shared" si="4"/>
        <v>6435</v>
      </c>
      <c r="G18" s="5">
        <f>VLOOKUP(B18,'Durée de vie utile'!$C$1:$E$6,3,FALSE)</f>
        <v>100</v>
      </c>
      <c r="H18" s="5">
        <f>VLOOKUP(B18,'Durée de vie utile'!$C$1:$E$6,2,FALSE)</f>
        <v>80</v>
      </c>
      <c r="I18" s="6">
        <f t="shared" si="5"/>
        <v>80.4375</v>
      </c>
      <c r="J18" s="6">
        <f>(F18/(1+'Autres hypothèses'!$D$5))*('Autres hypothèses'!$D$5/(((1+'Autres hypothèses'!$D$5)^'Conduite princ. - égout pluvial'!H18-1)))</f>
        <v>52.364653936070908</v>
      </c>
      <c r="K18" s="5">
        <v>1957</v>
      </c>
      <c r="L18" s="5">
        <f t="shared" si="0"/>
        <v>65</v>
      </c>
      <c r="M18" s="1">
        <f t="shared" si="1"/>
        <v>0.8125</v>
      </c>
      <c r="N18" s="3">
        <f t="shared" si="2"/>
        <v>5228.4375</v>
      </c>
      <c r="O18" s="3">
        <f t="shared" si="3"/>
        <v>1206.5625</v>
      </c>
    </row>
    <row r="19" spans="1:15" x14ac:dyDescent="0.25">
      <c r="A19" s="15" t="s">
        <v>738</v>
      </c>
      <c r="B19" s="5" t="s">
        <v>2016</v>
      </c>
      <c r="C19" s="5">
        <v>300</v>
      </c>
      <c r="D19" s="5">
        <v>3.1</v>
      </c>
      <c r="E19" s="7">
        <f>VLOOKUP(C19,'Taux unitaires'!E:F,2,FALSE)</f>
        <v>1650</v>
      </c>
      <c r="F19" s="6">
        <f t="shared" si="4"/>
        <v>5115</v>
      </c>
      <c r="G19" s="5">
        <f>VLOOKUP(B19,'Durée de vie utile'!$C$1:$E$6,3,FALSE)</f>
        <v>100</v>
      </c>
      <c r="H19" s="5">
        <f>VLOOKUP(B19,'Durée de vie utile'!$C$1:$E$6,2,FALSE)</f>
        <v>80</v>
      </c>
      <c r="I19" s="6">
        <f t="shared" si="5"/>
        <v>63.9375</v>
      </c>
      <c r="J19" s="6">
        <f>(F19/(1+'Autres hypothèses'!$D$5))*('Autres hypothèses'!$D$5/(((1+'Autres hypothèses'!$D$5)^'Conduite princ. - égout pluvial'!H19-1)))</f>
        <v>41.62318646200508</v>
      </c>
      <c r="K19" s="5">
        <v>1958</v>
      </c>
      <c r="L19" s="5">
        <f t="shared" si="0"/>
        <v>64</v>
      </c>
      <c r="M19" s="1">
        <f t="shared" si="1"/>
        <v>0.8</v>
      </c>
      <c r="N19" s="3">
        <f t="shared" si="2"/>
        <v>4092</v>
      </c>
      <c r="O19" s="3">
        <f t="shared" si="3"/>
        <v>1023</v>
      </c>
    </row>
    <row r="20" spans="1:15" x14ac:dyDescent="0.25">
      <c r="A20" s="15" t="s">
        <v>739</v>
      </c>
      <c r="B20" s="5" t="s">
        <v>2017</v>
      </c>
      <c r="C20" s="5">
        <v>300</v>
      </c>
      <c r="D20" s="5">
        <v>31.900000000000002</v>
      </c>
      <c r="E20" s="7">
        <f>VLOOKUP(C20,'Taux unitaires'!E:F,2,FALSE)</f>
        <v>1650</v>
      </c>
      <c r="F20" s="6">
        <f t="shared" si="4"/>
        <v>52635</v>
      </c>
      <c r="G20" s="5">
        <f>VLOOKUP(B20,'Durée de vie utile'!$C$1:$E$6,3,FALSE)</f>
        <v>100</v>
      </c>
      <c r="H20" s="5">
        <f>VLOOKUP(B20,'Durée de vie utile'!$C$1:$E$6,2,FALSE)</f>
        <v>80</v>
      </c>
      <c r="I20" s="6">
        <f t="shared" si="5"/>
        <v>657.9375</v>
      </c>
      <c r="J20" s="6">
        <f>(F20/(1+'Autres hypothèses'!$D$5))*('Autres hypothèses'!$D$5/(((1+'Autres hypothèses'!$D$5)^'Conduite princ. - égout pluvial'!H20-1)))</f>
        <v>428.31601552837486</v>
      </c>
      <c r="K20" s="5">
        <v>1958</v>
      </c>
      <c r="L20" s="5">
        <f t="shared" si="0"/>
        <v>64</v>
      </c>
      <c r="M20" s="1">
        <f t="shared" si="1"/>
        <v>0.8</v>
      </c>
      <c r="N20" s="3">
        <f t="shared" si="2"/>
        <v>42108</v>
      </c>
      <c r="O20" s="3">
        <f t="shared" si="3"/>
        <v>10527</v>
      </c>
    </row>
    <row r="21" spans="1:15" x14ac:dyDescent="0.25">
      <c r="A21" s="15" t="s">
        <v>740</v>
      </c>
      <c r="B21" s="5" t="s">
        <v>2018</v>
      </c>
      <c r="C21" s="5">
        <v>450</v>
      </c>
      <c r="D21" s="5">
        <v>71</v>
      </c>
      <c r="E21" s="7">
        <f>VLOOKUP(C21,'Taux unitaires'!E:F,2,FALSE)</f>
        <v>1700</v>
      </c>
      <c r="F21" s="6">
        <f t="shared" si="4"/>
        <v>120700</v>
      </c>
      <c r="G21" s="5">
        <f>VLOOKUP(B21,'Durée de vie utile'!$C$1:$E$6,3,FALSE)</f>
        <v>100</v>
      </c>
      <c r="H21" s="5">
        <f>VLOOKUP(B21,'Durée de vie utile'!$C$1:$E$6,2,FALSE)</f>
        <v>80</v>
      </c>
      <c r="I21" s="6">
        <f t="shared" si="5"/>
        <v>1508.75</v>
      </c>
      <c r="J21" s="6">
        <f>(F21/(1+'Autres hypothèses'!$D$5))*('Autres hypothèses'!$D$5/(((1+'Autres hypothèses'!$D$5)^'Conduite princ. - égout pluvial'!H21-1)))</f>
        <v>982.19327584829193</v>
      </c>
      <c r="K21" s="5">
        <v>1957</v>
      </c>
      <c r="L21" s="5">
        <f t="shared" si="0"/>
        <v>65</v>
      </c>
      <c r="M21" s="1">
        <f t="shared" si="1"/>
        <v>0.8125</v>
      </c>
      <c r="N21" s="3">
        <f t="shared" si="2"/>
        <v>98068.75</v>
      </c>
      <c r="O21" s="3">
        <f t="shared" si="3"/>
        <v>22631.25</v>
      </c>
    </row>
    <row r="22" spans="1:15" x14ac:dyDescent="0.25">
      <c r="A22" s="15" t="s">
        <v>741</v>
      </c>
      <c r="B22" s="5" t="s">
        <v>2019</v>
      </c>
      <c r="C22" s="5">
        <v>300</v>
      </c>
      <c r="D22" s="5">
        <v>10.4</v>
      </c>
      <c r="E22" s="7">
        <f>VLOOKUP(C22,'Taux unitaires'!E:F,2,FALSE)</f>
        <v>1650</v>
      </c>
      <c r="F22" s="6">
        <f t="shared" si="4"/>
        <v>17160</v>
      </c>
      <c r="G22" s="5">
        <f>VLOOKUP(B22,'Durée de vie utile'!$C$1:$E$6,3,FALSE)</f>
        <v>100</v>
      </c>
      <c r="H22" s="5">
        <f>VLOOKUP(B22,'Durée de vie utile'!$C$1:$E$6,2,FALSE)</f>
        <v>80</v>
      </c>
      <c r="I22" s="6">
        <f t="shared" si="5"/>
        <v>214.5</v>
      </c>
      <c r="J22" s="6">
        <f>(F22/(1+'Autres hypothèses'!$D$5))*('Autres hypothèses'!$D$5/(((1+'Autres hypothèses'!$D$5)^'Conduite princ. - égout pluvial'!H22-1)))</f>
        <v>139.63907716285576</v>
      </c>
      <c r="K22" s="5">
        <v>1958</v>
      </c>
      <c r="L22" s="5">
        <f t="shared" si="0"/>
        <v>64</v>
      </c>
      <c r="M22" s="1">
        <f t="shared" si="1"/>
        <v>0.8</v>
      </c>
      <c r="N22" s="3">
        <f t="shared" si="2"/>
        <v>13728</v>
      </c>
      <c r="O22" s="3">
        <f t="shared" si="3"/>
        <v>3432</v>
      </c>
    </row>
    <row r="23" spans="1:15" x14ac:dyDescent="0.25">
      <c r="A23" s="15" t="s">
        <v>742</v>
      </c>
      <c r="B23" s="5" t="s">
        <v>2020</v>
      </c>
      <c r="C23" s="5">
        <v>300</v>
      </c>
      <c r="D23" s="5">
        <v>89.6</v>
      </c>
      <c r="E23" s="7">
        <f>VLOOKUP(C23,'Taux unitaires'!E:F,2,FALSE)</f>
        <v>1650</v>
      </c>
      <c r="F23" s="6">
        <f t="shared" si="4"/>
        <v>147840</v>
      </c>
      <c r="G23" s="5">
        <f>VLOOKUP(B23,'Durée de vie utile'!$C$1:$E$6,3,FALSE)</f>
        <v>100</v>
      </c>
      <c r="H23" s="5">
        <f>VLOOKUP(B23,'Durée de vie utile'!$C$1:$E$6,2,FALSE)</f>
        <v>80</v>
      </c>
      <c r="I23" s="6">
        <f t="shared" si="5"/>
        <v>1848</v>
      </c>
      <c r="J23" s="6">
        <f>(F23/(1+'Autres hypothèses'!$D$5))*('Autres hypothèses'!$D$5/(((1+'Autres hypothèses'!$D$5)^'Conduite princ. - égout pluvial'!H23-1)))</f>
        <v>1203.0443570953726</v>
      </c>
      <c r="K23" s="5">
        <v>1958</v>
      </c>
      <c r="L23" s="5">
        <f t="shared" si="0"/>
        <v>64</v>
      </c>
      <c r="M23" s="1">
        <f t="shared" si="1"/>
        <v>0.8</v>
      </c>
      <c r="N23" s="3">
        <f t="shared" si="2"/>
        <v>118272</v>
      </c>
      <c r="O23" s="3">
        <f t="shared" si="3"/>
        <v>29568</v>
      </c>
    </row>
    <row r="24" spans="1:15" x14ac:dyDescent="0.25">
      <c r="A24" s="15" t="s">
        <v>743</v>
      </c>
      <c r="B24" s="5" t="s">
        <v>2021</v>
      </c>
      <c r="C24" s="5">
        <v>300</v>
      </c>
      <c r="D24" s="5">
        <v>97.699999999999989</v>
      </c>
      <c r="E24" s="7">
        <f>VLOOKUP(C24,'Taux unitaires'!E:F,2,FALSE)</f>
        <v>1650</v>
      </c>
      <c r="F24" s="6">
        <f t="shared" si="4"/>
        <v>161204.99999999997</v>
      </c>
      <c r="G24" s="5">
        <f>VLOOKUP(B24,'Durée de vie utile'!$C$1:$E$6,3,FALSE)</f>
        <v>100</v>
      </c>
      <c r="H24" s="5">
        <f>VLOOKUP(B24,'Durée de vie utile'!$C$1:$E$6,2,FALSE)</f>
        <v>80</v>
      </c>
      <c r="I24" s="6">
        <f t="shared" si="5"/>
        <v>2015.0624999999995</v>
      </c>
      <c r="J24" s="6">
        <f>(F24/(1+'Autres hypothèses'!$D$5))*('Autres hypothèses'!$D$5/(((1+'Autres hypothèses'!$D$5)^'Conduite princ. - égout pluvial'!H24-1)))</f>
        <v>1311.8017152702889</v>
      </c>
      <c r="K24" s="5">
        <v>1958</v>
      </c>
      <c r="L24" s="5">
        <f t="shared" si="0"/>
        <v>64</v>
      </c>
      <c r="M24" s="1">
        <f t="shared" si="1"/>
        <v>0.8</v>
      </c>
      <c r="N24" s="3">
        <f t="shared" si="2"/>
        <v>128963.99999999999</v>
      </c>
      <c r="O24" s="3">
        <f t="shared" si="3"/>
        <v>32240.999999999985</v>
      </c>
    </row>
    <row r="25" spans="1:15" x14ac:dyDescent="0.25">
      <c r="A25" s="15" t="s">
        <v>744</v>
      </c>
      <c r="B25" s="5" t="s">
        <v>2022</v>
      </c>
      <c r="C25" s="5">
        <v>300</v>
      </c>
      <c r="D25" s="5">
        <v>62.6</v>
      </c>
      <c r="E25" s="7">
        <f>VLOOKUP(C25,'Taux unitaires'!E:F,2,FALSE)</f>
        <v>1650</v>
      </c>
      <c r="F25" s="6">
        <f t="shared" si="4"/>
        <v>103290</v>
      </c>
      <c r="G25" s="5">
        <f>VLOOKUP(B25,'Durée de vie utile'!$C$1:$E$6,3,FALSE)</f>
        <v>100</v>
      </c>
      <c r="H25" s="5">
        <f>VLOOKUP(B25,'Durée de vie utile'!$C$1:$E$6,2,FALSE)</f>
        <v>80</v>
      </c>
      <c r="I25" s="6">
        <f t="shared" si="5"/>
        <v>1291.125</v>
      </c>
      <c r="J25" s="6">
        <f>(F25/(1+'Autres hypothèses'!$D$5))*('Autres hypothèses'!$D$5/(((1+'Autres hypothèses'!$D$5)^'Conduite princ. - égout pluvial'!H25-1)))</f>
        <v>840.51982984565097</v>
      </c>
      <c r="K25" s="5">
        <v>1958</v>
      </c>
      <c r="L25" s="5">
        <f t="shared" si="0"/>
        <v>64</v>
      </c>
      <c r="M25" s="1">
        <f t="shared" si="1"/>
        <v>0.8</v>
      </c>
      <c r="N25" s="3">
        <f t="shared" si="2"/>
        <v>82632</v>
      </c>
      <c r="O25" s="3">
        <f t="shared" si="3"/>
        <v>20658</v>
      </c>
    </row>
    <row r="26" spans="1:15" x14ac:dyDescent="0.25">
      <c r="A26" s="15" t="s">
        <v>745</v>
      </c>
      <c r="B26" s="5" t="s">
        <v>2023</v>
      </c>
      <c r="C26" s="5">
        <v>300</v>
      </c>
      <c r="D26" s="5">
        <v>20.6</v>
      </c>
      <c r="E26" s="7">
        <f>VLOOKUP(C26,'Taux unitaires'!E:F,2,FALSE)</f>
        <v>1650</v>
      </c>
      <c r="F26" s="6">
        <f t="shared" si="4"/>
        <v>33990</v>
      </c>
      <c r="G26" s="5">
        <f>VLOOKUP(B26,'Durée de vie utile'!$C$1:$E$6,3,FALSE)</f>
        <v>100</v>
      </c>
      <c r="H26" s="5">
        <f>VLOOKUP(B26,'Durée de vie utile'!$C$1:$E$6,2,FALSE)</f>
        <v>80</v>
      </c>
      <c r="I26" s="6">
        <f t="shared" si="5"/>
        <v>424.875</v>
      </c>
      <c r="J26" s="6">
        <f>(F26/(1+'Autres hypothèses'!$D$5))*('Autres hypothèses'!$D$5/(((1+'Autres hypothèses'!$D$5)^'Conduite princ. - égout pluvial'!H26-1)))</f>
        <v>276.59278745719507</v>
      </c>
      <c r="K26" s="5">
        <v>1963</v>
      </c>
      <c r="L26" s="5">
        <f t="shared" si="0"/>
        <v>59</v>
      </c>
      <c r="M26" s="1">
        <f t="shared" si="1"/>
        <v>0.73750000000000004</v>
      </c>
      <c r="N26" s="3">
        <f t="shared" si="2"/>
        <v>25067.625</v>
      </c>
      <c r="O26" s="3">
        <f t="shared" si="3"/>
        <v>8922.375</v>
      </c>
    </row>
    <row r="27" spans="1:15" x14ac:dyDescent="0.25">
      <c r="A27" s="15" t="s">
        <v>746</v>
      </c>
      <c r="B27" s="5" t="s">
        <v>2024</v>
      </c>
      <c r="C27" s="5">
        <v>300</v>
      </c>
      <c r="D27" s="5">
        <v>13</v>
      </c>
      <c r="E27" s="7">
        <f>VLOOKUP(C27,'Taux unitaires'!E:F,2,FALSE)</f>
        <v>1650</v>
      </c>
      <c r="F27" s="6">
        <f t="shared" si="4"/>
        <v>21450</v>
      </c>
      <c r="G27" s="5">
        <f>VLOOKUP(B27,'Durée de vie utile'!$C$1:$E$6,3,FALSE)</f>
        <v>100</v>
      </c>
      <c r="H27" s="5">
        <f>VLOOKUP(B27,'Durée de vie utile'!$C$1:$E$6,2,FALSE)</f>
        <v>80</v>
      </c>
      <c r="I27" s="6">
        <f t="shared" si="5"/>
        <v>268.125</v>
      </c>
      <c r="J27" s="6">
        <f>(F27/(1+'Autres hypothèses'!$D$5))*('Autres hypothèses'!$D$5/(((1+'Autres hypothèses'!$D$5)^'Conduite princ. - égout pluvial'!H27-1)))</f>
        <v>174.54884645356969</v>
      </c>
      <c r="K27" s="5">
        <v>1958</v>
      </c>
      <c r="L27" s="5">
        <f t="shared" si="0"/>
        <v>64</v>
      </c>
      <c r="M27" s="1">
        <f t="shared" si="1"/>
        <v>0.8</v>
      </c>
      <c r="N27" s="3">
        <f t="shared" si="2"/>
        <v>17160</v>
      </c>
      <c r="O27" s="3">
        <f t="shared" si="3"/>
        <v>4290</v>
      </c>
    </row>
    <row r="28" spans="1:15" x14ac:dyDescent="0.25">
      <c r="A28" s="15" t="s">
        <v>747</v>
      </c>
      <c r="B28" s="5" t="s">
        <v>2025</v>
      </c>
      <c r="C28" s="5">
        <v>200</v>
      </c>
      <c r="D28" s="5">
        <v>41.2</v>
      </c>
      <c r="E28" s="7">
        <f>VLOOKUP(C28,'Taux unitaires'!E:F,2,FALSE)</f>
        <v>1550</v>
      </c>
      <c r="F28" s="6">
        <f t="shared" si="4"/>
        <v>63860.000000000007</v>
      </c>
      <c r="G28" s="5">
        <f>VLOOKUP(B28,'Durée de vie utile'!$C$1:$E$6,3,FALSE)</f>
        <v>100</v>
      </c>
      <c r="H28" s="5">
        <f>VLOOKUP(B28,'Durée de vie utile'!$C$1:$E$6,2,FALSE)</f>
        <v>80</v>
      </c>
      <c r="I28" s="6">
        <f t="shared" si="5"/>
        <v>798.25000000000011</v>
      </c>
      <c r="J28" s="6">
        <f>(F28/(1+'Autres hypothèses'!$D$5))*('Autres hypothèses'!$D$5/(((1+'Autres hypothèses'!$D$5)^'Conduite princ. - égout pluvial'!H28-1)))</f>
        <v>519.65917643473017</v>
      </c>
      <c r="K28" s="5">
        <v>1959</v>
      </c>
      <c r="L28" s="5">
        <f t="shared" si="0"/>
        <v>63</v>
      </c>
      <c r="M28" s="1">
        <f t="shared" si="1"/>
        <v>0.78749999999999998</v>
      </c>
      <c r="N28" s="3">
        <f t="shared" si="2"/>
        <v>50289.750000000007</v>
      </c>
      <c r="O28" s="3">
        <f t="shared" si="3"/>
        <v>13570.25</v>
      </c>
    </row>
    <row r="29" spans="1:15" x14ac:dyDescent="0.25">
      <c r="A29" s="15" t="s">
        <v>748</v>
      </c>
      <c r="B29" s="5" t="s">
        <v>2026</v>
      </c>
      <c r="C29" s="5">
        <v>200</v>
      </c>
      <c r="D29" s="5">
        <v>28.3</v>
      </c>
      <c r="E29" s="7">
        <f>VLOOKUP(C29,'Taux unitaires'!E:F,2,FALSE)</f>
        <v>1550</v>
      </c>
      <c r="F29" s="6">
        <f t="shared" si="4"/>
        <v>43865</v>
      </c>
      <c r="G29" s="5">
        <f>VLOOKUP(B29,'Durée de vie utile'!$C$1:$E$6,3,FALSE)</f>
        <v>100</v>
      </c>
      <c r="H29" s="5">
        <f>VLOOKUP(B29,'Durée de vie utile'!$C$1:$E$6,2,FALSE)</f>
        <v>80</v>
      </c>
      <c r="I29" s="6">
        <f t="shared" si="5"/>
        <v>548.3125</v>
      </c>
      <c r="J29" s="6">
        <f>(F29/(1+'Autres hypothèses'!$D$5))*('Autres hypothèses'!$D$5/(((1+'Autres hypothèses'!$D$5)^'Conduite princ. - égout pluvial'!H29-1)))</f>
        <v>356.95035662871021</v>
      </c>
      <c r="K29" s="5">
        <v>1959</v>
      </c>
      <c r="L29" s="5">
        <f t="shared" si="0"/>
        <v>63</v>
      </c>
      <c r="M29" s="1">
        <f t="shared" si="1"/>
        <v>0.78749999999999998</v>
      </c>
      <c r="N29" s="3">
        <f t="shared" si="2"/>
        <v>34543.6875</v>
      </c>
      <c r="O29" s="3">
        <f t="shared" si="3"/>
        <v>9321.3125</v>
      </c>
    </row>
    <row r="30" spans="1:15" x14ac:dyDescent="0.25">
      <c r="A30" s="15" t="s">
        <v>749</v>
      </c>
      <c r="B30" s="5" t="s">
        <v>2027</v>
      </c>
      <c r="C30" s="5">
        <v>200</v>
      </c>
      <c r="D30" s="5">
        <v>22.1</v>
      </c>
      <c r="E30" s="7">
        <f>VLOOKUP(C30,'Taux unitaires'!E:F,2,FALSE)</f>
        <v>1550</v>
      </c>
      <c r="F30" s="6">
        <f t="shared" si="4"/>
        <v>34255</v>
      </c>
      <c r="G30" s="5">
        <f>VLOOKUP(B30,'Durée de vie utile'!$C$1:$E$6,3,FALSE)</f>
        <v>100</v>
      </c>
      <c r="H30" s="5">
        <f>VLOOKUP(B30,'Durée de vie utile'!$C$1:$E$6,2,FALSE)</f>
        <v>80</v>
      </c>
      <c r="I30" s="6">
        <f t="shared" si="5"/>
        <v>428.1875</v>
      </c>
      <c r="J30" s="6">
        <f>(F30/(1+'Autres hypothèses'!$D$5))*('Autres hypothèses'!$D$5/(((1+'Autres hypothèses'!$D$5)^'Conduite princ. - égout pluvial'!H30-1)))</f>
        <v>278.74921842736734</v>
      </c>
      <c r="K30" s="5">
        <v>1963</v>
      </c>
      <c r="L30" s="5">
        <f t="shared" si="0"/>
        <v>59</v>
      </c>
      <c r="M30" s="1">
        <f t="shared" si="1"/>
        <v>0.73750000000000004</v>
      </c>
      <c r="N30" s="3">
        <f t="shared" si="2"/>
        <v>25263.0625</v>
      </c>
      <c r="O30" s="3">
        <f t="shared" si="3"/>
        <v>8991.9375</v>
      </c>
    </row>
    <row r="31" spans="1:15" x14ac:dyDescent="0.25">
      <c r="A31" s="15" t="s">
        <v>750</v>
      </c>
      <c r="B31" s="5" t="s">
        <v>2028</v>
      </c>
      <c r="C31" s="5">
        <v>200</v>
      </c>
      <c r="D31" s="5">
        <v>24.5</v>
      </c>
      <c r="E31" s="7">
        <f>VLOOKUP(C31,'Taux unitaires'!E:F,2,FALSE)</f>
        <v>1550</v>
      </c>
      <c r="F31" s="6">
        <f t="shared" si="4"/>
        <v>37975</v>
      </c>
      <c r="G31" s="5">
        <f>VLOOKUP(B31,'Durée de vie utile'!$C$1:$E$6,3,FALSE)</f>
        <v>100</v>
      </c>
      <c r="H31" s="5">
        <f>VLOOKUP(B31,'Durée de vie utile'!$C$1:$E$6,2,FALSE)</f>
        <v>80</v>
      </c>
      <c r="I31" s="6">
        <f t="shared" si="5"/>
        <v>474.6875</v>
      </c>
      <c r="J31" s="6">
        <f>(F31/(1+'Autres hypothèses'!$D$5))*('Autres hypothèses'!$D$5/(((1+'Autres hypothèses'!$D$5)^'Conduite princ. - égout pluvial'!H31-1)))</f>
        <v>309.02062676337101</v>
      </c>
      <c r="K31" s="5">
        <v>1959</v>
      </c>
      <c r="L31" s="5">
        <f t="shared" si="0"/>
        <v>63</v>
      </c>
      <c r="M31" s="1">
        <f t="shared" si="1"/>
        <v>0.78749999999999998</v>
      </c>
      <c r="N31" s="3">
        <f t="shared" si="2"/>
        <v>29905.3125</v>
      </c>
      <c r="O31" s="3">
        <f t="shared" si="3"/>
        <v>8069.6875</v>
      </c>
    </row>
    <row r="32" spans="1:15" x14ac:dyDescent="0.25">
      <c r="A32" s="15" t="s">
        <v>751</v>
      </c>
      <c r="B32" s="5" t="s">
        <v>2029</v>
      </c>
      <c r="C32" s="5">
        <v>200</v>
      </c>
      <c r="D32" s="5">
        <v>48.7</v>
      </c>
      <c r="E32" s="7">
        <f>VLOOKUP(C32,'Taux unitaires'!E:F,2,FALSE)</f>
        <v>1550</v>
      </c>
      <c r="F32" s="6">
        <f t="shared" si="4"/>
        <v>75485</v>
      </c>
      <c r="G32" s="5">
        <f>VLOOKUP(B32,'Durée de vie utile'!$C$1:$E$6,3,FALSE)</f>
        <v>100</v>
      </c>
      <c r="H32" s="5">
        <f>VLOOKUP(B32,'Durée de vie utile'!$C$1:$E$6,2,FALSE)</f>
        <v>80</v>
      </c>
      <c r="I32" s="6">
        <f t="shared" si="5"/>
        <v>943.5625</v>
      </c>
      <c r="J32" s="6">
        <f>(F32/(1+'Autres hypothèses'!$D$5))*('Autres hypothèses'!$D$5/(((1+'Autres hypothèses'!$D$5)^'Conduite princ. - égout pluvial'!H32-1)))</f>
        <v>614.25732748474172</v>
      </c>
      <c r="K32" s="5">
        <v>1959</v>
      </c>
      <c r="L32" s="5">
        <f t="shared" si="0"/>
        <v>63</v>
      </c>
      <c r="M32" s="1">
        <f t="shared" si="1"/>
        <v>0.78749999999999998</v>
      </c>
      <c r="N32" s="3">
        <f t="shared" si="2"/>
        <v>59444.4375</v>
      </c>
      <c r="O32" s="3">
        <f t="shared" si="3"/>
        <v>16040.5625</v>
      </c>
    </row>
    <row r="33" spans="1:15" x14ac:dyDescent="0.25">
      <c r="A33" s="15" t="s">
        <v>752</v>
      </c>
      <c r="B33" s="5" t="s">
        <v>2030</v>
      </c>
      <c r="C33" s="5">
        <v>300</v>
      </c>
      <c r="D33" s="5">
        <v>88.5</v>
      </c>
      <c r="E33" s="7">
        <f>VLOOKUP(C33,'Taux unitaires'!E:F,2,FALSE)</f>
        <v>1650</v>
      </c>
      <c r="F33" s="6">
        <f t="shared" si="4"/>
        <v>146025</v>
      </c>
      <c r="G33" s="5">
        <f>VLOOKUP(B33,'Durée de vie utile'!$C$1:$E$6,3,FALSE)</f>
        <v>100</v>
      </c>
      <c r="H33" s="5">
        <f>VLOOKUP(B33,'Durée de vie utile'!$C$1:$E$6,2,FALSE)</f>
        <v>80</v>
      </c>
      <c r="I33" s="6">
        <f t="shared" si="5"/>
        <v>1825.3125</v>
      </c>
      <c r="J33" s="6">
        <f>(F33/(1+'Autres hypothèses'!$D$5))*('Autres hypothèses'!$D$5/(((1+'Autres hypothèses'!$D$5)^'Conduite princ. - égout pluvial'!H33-1)))</f>
        <v>1188.274839318532</v>
      </c>
      <c r="K33" s="5">
        <v>1963</v>
      </c>
      <c r="L33" s="5">
        <f t="shared" si="0"/>
        <v>59</v>
      </c>
      <c r="M33" s="1">
        <f t="shared" si="1"/>
        <v>0.73750000000000004</v>
      </c>
      <c r="N33" s="3">
        <f t="shared" si="2"/>
        <v>107693.4375</v>
      </c>
      <c r="O33" s="3">
        <f t="shared" si="3"/>
        <v>38331.5625</v>
      </c>
    </row>
    <row r="34" spans="1:15" x14ac:dyDescent="0.25">
      <c r="A34" s="15" t="s">
        <v>753</v>
      </c>
      <c r="B34" s="5" t="s">
        <v>2031</v>
      </c>
      <c r="C34" s="5">
        <v>375</v>
      </c>
      <c r="D34" s="5">
        <v>97.699999999999989</v>
      </c>
      <c r="E34" s="7">
        <f>VLOOKUP(C34,'Taux unitaires'!E:F,2,FALSE)</f>
        <v>1650</v>
      </c>
      <c r="F34" s="6">
        <f t="shared" si="4"/>
        <v>161204.99999999997</v>
      </c>
      <c r="G34" s="5">
        <f>VLOOKUP(B34,'Durée de vie utile'!$C$1:$E$6,3,FALSE)</f>
        <v>100</v>
      </c>
      <c r="H34" s="5">
        <f>VLOOKUP(B34,'Durée de vie utile'!$C$1:$E$6,2,FALSE)</f>
        <v>80</v>
      </c>
      <c r="I34" s="6">
        <f t="shared" si="5"/>
        <v>2015.0624999999995</v>
      </c>
      <c r="J34" s="6">
        <f>(F34/(1+'Autres hypothèses'!$D$5))*('Autres hypothèses'!$D$5/(((1+'Autres hypothèses'!$D$5)^'Conduite princ. - égout pluvial'!H34-1)))</f>
        <v>1311.8017152702889</v>
      </c>
      <c r="K34" s="5">
        <v>1960</v>
      </c>
      <c r="L34" s="5">
        <f t="shared" si="0"/>
        <v>62</v>
      </c>
      <c r="M34" s="1">
        <f t="shared" si="1"/>
        <v>0.77500000000000002</v>
      </c>
      <c r="N34" s="3">
        <f t="shared" si="2"/>
        <v>124933.87499999999</v>
      </c>
      <c r="O34" s="3">
        <f t="shared" si="3"/>
        <v>36271.124999999985</v>
      </c>
    </row>
    <row r="35" spans="1:15" x14ac:dyDescent="0.25">
      <c r="A35" s="15" t="s">
        <v>754</v>
      </c>
      <c r="B35" s="5" t="s">
        <v>2032</v>
      </c>
      <c r="C35" s="5">
        <v>200</v>
      </c>
      <c r="D35" s="5">
        <v>66</v>
      </c>
      <c r="E35" s="7">
        <f>VLOOKUP(C35,'Taux unitaires'!E:F,2,FALSE)</f>
        <v>1550</v>
      </c>
      <c r="F35" s="6">
        <f t="shared" si="4"/>
        <v>102300</v>
      </c>
      <c r="G35" s="5">
        <f>VLOOKUP(B35,'Durée de vie utile'!$C$1:$E$6,3,FALSE)</f>
        <v>100</v>
      </c>
      <c r="H35" s="5">
        <f>VLOOKUP(B35,'Durée de vie utile'!$C$1:$E$6,2,FALSE)</f>
        <v>80</v>
      </c>
      <c r="I35" s="6">
        <f t="shared" si="5"/>
        <v>1278.75</v>
      </c>
      <c r="J35" s="6">
        <f>(F35/(1+'Autres hypothèses'!$D$5))*('Autres hypothèses'!$D$5/(((1+'Autres hypothèses'!$D$5)^'Conduite princ. - égout pluvial'!H35-1)))</f>
        <v>832.46372924010166</v>
      </c>
      <c r="K35" s="5">
        <v>1960</v>
      </c>
      <c r="L35" s="5">
        <f t="shared" si="0"/>
        <v>62</v>
      </c>
      <c r="M35" s="1">
        <f t="shared" si="1"/>
        <v>0.77500000000000002</v>
      </c>
      <c r="N35" s="3">
        <f t="shared" si="2"/>
        <v>79282.5</v>
      </c>
      <c r="O35" s="3">
        <f t="shared" si="3"/>
        <v>23017.5</v>
      </c>
    </row>
    <row r="36" spans="1:15" x14ac:dyDescent="0.25">
      <c r="A36" s="15" t="s">
        <v>755</v>
      </c>
      <c r="B36" s="5" t="s">
        <v>2033</v>
      </c>
      <c r="C36" s="5">
        <v>200</v>
      </c>
      <c r="D36" s="5">
        <v>75.199999999999989</v>
      </c>
      <c r="E36" s="7">
        <f>VLOOKUP(C36,'Taux unitaires'!E:F,2,FALSE)</f>
        <v>1550</v>
      </c>
      <c r="F36" s="6">
        <f t="shared" si="4"/>
        <v>116559.99999999999</v>
      </c>
      <c r="G36" s="5">
        <f>VLOOKUP(B36,'Durée de vie utile'!$C$1:$E$6,3,FALSE)</f>
        <v>100</v>
      </c>
      <c r="H36" s="5">
        <f>VLOOKUP(B36,'Durée de vie utile'!$C$1:$E$6,2,FALSE)</f>
        <v>80</v>
      </c>
      <c r="I36" s="6">
        <f t="shared" si="5"/>
        <v>1456.9999999999998</v>
      </c>
      <c r="J36" s="6">
        <f>(F36/(1+'Autres hypothèses'!$D$5))*('Autres hypothèses'!$D$5/(((1+'Autres hypothèses'!$D$5)^'Conduite princ. - égout pluvial'!H36-1)))</f>
        <v>948.50412786144898</v>
      </c>
      <c r="K36" s="5">
        <v>1960</v>
      </c>
      <c r="L36" s="5">
        <f t="shared" si="0"/>
        <v>62</v>
      </c>
      <c r="M36" s="1">
        <f t="shared" si="1"/>
        <v>0.77500000000000002</v>
      </c>
      <c r="N36" s="3">
        <f t="shared" si="2"/>
        <v>90333.999999999985</v>
      </c>
      <c r="O36" s="3">
        <f t="shared" si="3"/>
        <v>26226</v>
      </c>
    </row>
    <row r="37" spans="1:15" x14ac:dyDescent="0.25">
      <c r="A37" s="15" t="s">
        <v>756</v>
      </c>
      <c r="B37" s="5" t="s">
        <v>2034</v>
      </c>
      <c r="C37" s="5">
        <v>200</v>
      </c>
      <c r="D37" s="5">
        <v>68.099999999999994</v>
      </c>
      <c r="E37" s="7">
        <f>VLOOKUP(C37,'Taux unitaires'!E:F,2,FALSE)</f>
        <v>1550</v>
      </c>
      <c r="F37" s="6">
        <f t="shared" si="4"/>
        <v>105554.99999999999</v>
      </c>
      <c r="G37" s="5">
        <f>VLOOKUP(B37,'Durée de vie utile'!$C$1:$E$6,3,FALSE)</f>
        <v>100</v>
      </c>
      <c r="H37" s="5">
        <f>VLOOKUP(B37,'Durée de vie utile'!$C$1:$E$6,2,FALSE)</f>
        <v>80</v>
      </c>
      <c r="I37" s="6">
        <f t="shared" si="5"/>
        <v>1319.4374999999998</v>
      </c>
      <c r="J37" s="6">
        <f>(F37/(1+'Autres hypothèses'!$D$5))*('Autres hypothèses'!$D$5/(((1+'Autres hypothèses'!$D$5)^'Conduite princ. - égout pluvial'!H37-1)))</f>
        <v>858.95121153410469</v>
      </c>
      <c r="K37" s="5">
        <v>1961</v>
      </c>
      <c r="L37" s="5">
        <f t="shared" si="0"/>
        <v>61</v>
      </c>
      <c r="M37" s="1">
        <f t="shared" si="1"/>
        <v>0.76249999999999996</v>
      </c>
      <c r="N37" s="3">
        <f t="shared" si="2"/>
        <v>80485.687499999985</v>
      </c>
      <c r="O37" s="3">
        <f t="shared" si="3"/>
        <v>25069.3125</v>
      </c>
    </row>
    <row r="38" spans="1:15" x14ac:dyDescent="0.25">
      <c r="A38" s="15" t="s">
        <v>757</v>
      </c>
      <c r="B38" s="5" t="s">
        <v>2035</v>
      </c>
      <c r="C38" s="5">
        <v>375</v>
      </c>
      <c r="D38" s="5">
        <v>30.3</v>
      </c>
      <c r="E38" s="7">
        <f>VLOOKUP(C38,'Taux unitaires'!E:F,2,FALSE)</f>
        <v>1650</v>
      </c>
      <c r="F38" s="6">
        <f t="shared" si="4"/>
        <v>49995</v>
      </c>
      <c r="G38" s="5">
        <f>VLOOKUP(B38,'Durée de vie utile'!$C$1:$E$6,3,FALSE)</f>
        <v>100</v>
      </c>
      <c r="H38" s="5">
        <f>VLOOKUP(B38,'Durée de vie utile'!$C$1:$E$6,2,FALSE)</f>
        <v>80</v>
      </c>
      <c r="I38" s="6">
        <f t="shared" si="5"/>
        <v>624.9375</v>
      </c>
      <c r="J38" s="6">
        <f>(F38/(1+'Autres hypothèses'!$D$5))*('Autres hypothèses'!$D$5/(((1+'Autres hypothèses'!$D$5)^'Conduite princ. - égout pluvial'!H38-1)))</f>
        <v>406.83308058024323</v>
      </c>
      <c r="K38" s="5">
        <v>1965</v>
      </c>
      <c r="L38" s="5">
        <f t="shared" si="0"/>
        <v>57</v>
      </c>
      <c r="M38" s="1">
        <f t="shared" si="1"/>
        <v>0.71250000000000002</v>
      </c>
      <c r="N38" s="3">
        <f t="shared" si="2"/>
        <v>35621.4375</v>
      </c>
      <c r="O38" s="3">
        <f t="shared" si="3"/>
        <v>14373.5625</v>
      </c>
    </row>
    <row r="39" spans="1:15" x14ac:dyDescent="0.25">
      <c r="A39" s="15" t="s">
        <v>758</v>
      </c>
      <c r="B39" s="5" t="s">
        <v>2036</v>
      </c>
      <c r="C39" s="5">
        <v>200</v>
      </c>
      <c r="D39" s="5">
        <v>93.399999999999991</v>
      </c>
      <c r="E39" s="7">
        <f>VLOOKUP(C39,'Taux unitaires'!E:F,2,FALSE)</f>
        <v>1550</v>
      </c>
      <c r="F39" s="6">
        <f t="shared" si="4"/>
        <v>144770</v>
      </c>
      <c r="G39" s="5">
        <f>VLOOKUP(B39,'Durée de vie utile'!$C$1:$E$6,3,FALSE)</f>
        <v>100</v>
      </c>
      <c r="H39" s="5">
        <f>VLOOKUP(B39,'Durée de vie utile'!$C$1:$E$6,2,FALSE)</f>
        <v>80</v>
      </c>
      <c r="I39" s="6">
        <f t="shared" si="5"/>
        <v>1809.625</v>
      </c>
      <c r="J39" s="6">
        <f>(F39/(1+'Autres hypothèses'!$D$5))*('Autres hypothèses'!$D$5/(((1+'Autres hypothèses'!$D$5)^'Conduite princ. - égout pluvial'!H39-1)))</f>
        <v>1178.0623077428106</v>
      </c>
      <c r="K39" s="5">
        <v>1961</v>
      </c>
      <c r="L39" s="5">
        <f t="shared" si="0"/>
        <v>61</v>
      </c>
      <c r="M39" s="1">
        <f t="shared" si="1"/>
        <v>0.76249999999999996</v>
      </c>
      <c r="N39" s="3">
        <f t="shared" si="2"/>
        <v>110387.125</v>
      </c>
      <c r="O39" s="3">
        <f t="shared" si="3"/>
        <v>34382.875</v>
      </c>
    </row>
    <row r="40" spans="1:15" x14ac:dyDescent="0.25">
      <c r="A40" s="15" t="s">
        <v>759</v>
      </c>
      <c r="B40" s="5" t="s">
        <v>2037</v>
      </c>
      <c r="C40" s="5">
        <v>200</v>
      </c>
      <c r="D40" s="5">
        <v>37.6</v>
      </c>
      <c r="E40" s="7">
        <f>VLOOKUP(C40,'Taux unitaires'!E:F,2,FALSE)</f>
        <v>1550</v>
      </c>
      <c r="F40" s="6">
        <f t="shared" si="4"/>
        <v>58280</v>
      </c>
      <c r="G40" s="5">
        <f>VLOOKUP(B40,'Durée de vie utile'!$C$1:$E$6,3,FALSE)</f>
        <v>100</v>
      </c>
      <c r="H40" s="5">
        <f>VLOOKUP(B40,'Durée de vie utile'!$C$1:$E$6,2,FALSE)</f>
        <v>80</v>
      </c>
      <c r="I40" s="6">
        <f t="shared" si="5"/>
        <v>728.5</v>
      </c>
      <c r="J40" s="6">
        <f>(F40/(1+'Autres hypothèses'!$D$5))*('Autres hypothèses'!$D$5/(((1+'Autres hypothèses'!$D$5)^'Conduite princ. - égout pluvial'!H40-1)))</f>
        <v>474.25206393072455</v>
      </c>
      <c r="K40" s="5">
        <v>1961</v>
      </c>
      <c r="L40" s="5">
        <f t="shared" si="0"/>
        <v>61</v>
      </c>
      <c r="M40" s="1">
        <f t="shared" si="1"/>
        <v>0.76249999999999996</v>
      </c>
      <c r="N40" s="3">
        <f t="shared" si="2"/>
        <v>44438.5</v>
      </c>
      <c r="O40" s="3">
        <f t="shared" si="3"/>
        <v>13841.5</v>
      </c>
    </row>
    <row r="41" spans="1:15" x14ac:dyDescent="0.25">
      <c r="A41" s="15" t="s">
        <v>760</v>
      </c>
      <c r="B41" s="5" t="s">
        <v>2038</v>
      </c>
      <c r="C41" s="5">
        <v>375</v>
      </c>
      <c r="D41" s="5">
        <v>11.799999999999999</v>
      </c>
      <c r="E41" s="7">
        <f>VLOOKUP(C41,'Taux unitaires'!E:F,2,FALSE)</f>
        <v>1650</v>
      </c>
      <c r="F41" s="6">
        <f t="shared" si="4"/>
        <v>19470</v>
      </c>
      <c r="G41" s="5">
        <f>VLOOKUP(B41,'Durée de vie utile'!$C$1:$E$6,3,FALSE)</f>
        <v>100</v>
      </c>
      <c r="H41" s="5">
        <f>VLOOKUP(B41,'Durée de vie utile'!$C$1:$E$6,2,FALSE)</f>
        <v>80</v>
      </c>
      <c r="I41" s="6">
        <f t="shared" si="5"/>
        <v>243.375</v>
      </c>
      <c r="J41" s="6">
        <f>(F41/(1+'Autres hypothèses'!$D$5))*('Autres hypothèses'!$D$5/(((1+'Autres hypothèses'!$D$5)^'Conduite princ. - égout pluvial'!H41-1)))</f>
        <v>158.43664524247095</v>
      </c>
      <c r="K41" s="5">
        <v>1962</v>
      </c>
      <c r="L41" s="5">
        <f t="shared" si="0"/>
        <v>60</v>
      </c>
      <c r="M41" s="1">
        <f t="shared" si="1"/>
        <v>0.75</v>
      </c>
      <c r="N41" s="3">
        <f t="shared" si="2"/>
        <v>14602.5</v>
      </c>
      <c r="O41" s="3">
        <f t="shared" si="3"/>
        <v>4867.5</v>
      </c>
    </row>
    <row r="42" spans="1:15" x14ac:dyDescent="0.25">
      <c r="A42" s="15" t="s">
        <v>761</v>
      </c>
      <c r="B42" s="5" t="s">
        <v>2039</v>
      </c>
      <c r="C42" s="5">
        <v>450</v>
      </c>
      <c r="D42" s="5">
        <v>81.199999999999989</v>
      </c>
      <c r="E42" s="7">
        <f>VLOOKUP(C42,'Taux unitaires'!E:F,2,FALSE)</f>
        <v>1700</v>
      </c>
      <c r="F42" s="6">
        <f t="shared" si="4"/>
        <v>138039.99999999997</v>
      </c>
      <c r="G42" s="5">
        <f>VLOOKUP(B42,'Durée de vie utile'!$C$1:$E$6,3,FALSE)</f>
        <v>100</v>
      </c>
      <c r="H42" s="5">
        <f>VLOOKUP(B42,'Durée de vie utile'!$C$1:$E$6,2,FALSE)</f>
        <v>80</v>
      </c>
      <c r="I42" s="6">
        <f t="shared" si="5"/>
        <v>1725.4999999999995</v>
      </c>
      <c r="J42" s="6">
        <f>(F42/(1+'Autres hypothèses'!$D$5))*('Autres hypothèses'!$D$5/(((1+'Autres hypothèses'!$D$5)^'Conduite princ. - égout pluvial'!H42-1)))</f>
        <v>1123.2970985757927</v>
      </c>
      <c r="K42" s="5">
        <v>1962</v>
      </c>
      <c r="L42" s="5">
        <f t="shared" si="0"/>
        <v>60</v>
      </c>
      <c r="M42" s="1">
        <f t="shared" si="1"/>
        <v>0.75</v>
      </c>
      <c r="N42" s="3">
        <f t="shared" si="2"/>
        <v>103529.99999999997</v>
      </c>
      <c r="O42" s="3">
        <f t="shared" si="3"/>
        <v>34510</v>
      </c>
    </row>
    <row r="43" spans="1:15" x14ac:dyDescent="0.25">
      <c r="A43" s="15" t="s">
        <v>762</v>
      </c>
      <c r="B43" s="5" t="s">
        <v>2040</v>
      </c>
      <c r="C43" s="5">
        <v>200</v>
      </c>
      <c r="D43" s="5">
        <v>89.399999999999991</v>
      </c>
      <c r="E43" s="7">
        <f>VLOOKUP(C43,'Taux unitaires'!E:F,2,FALSE)</f>
        <v>1550</v>
      </c>
      <c r="F43" s="6">
        <f t="shared" si="4"/>
        <v>138570</v>
      </c>
      <c r="G43" s="5">
        <f>VLOOKUP(B43,'Durée de vie utile'!$C$1:$E$6,3,FALSE)</f>
        <v>100</v>
      </c>
      <c r="H43" s="5">
        <f>VLOOKUP(B43,'Durée de vie utile'!$C$1:$E$6,2,FALSE)</f>
        <v>80</v>
      </c>
      <c r="I43" s="6">
        <f t="shared" si="5"/>
        <v>1732.125</v>
      </c>
      <c r="J43" s="6">
        <f>(F43/(1+'Autres hypothèses'!$D$5))*('Autres hypothèses'!$D$5/(((1+'Autres hypothèses'!$D$5)^'Conduite princ. - égout pluvial'!H43-1)))</f>
        <v>1127.6099605161378</v>
      </c>
      <c r="K43" s="5">
        <v>1959</v>
      </c>
      <c r="L43" s="5">
        <f t="shared" si="0"/>
        <v>63</v>
      </c>
      <c r="M43" s="1">
        <f t="shared" si="1"/>
        <v>0.78749999999999998</v>
      </c>
      <c r="N43" s="3">
        <f t="shared" si="2"/>
        <v>109123.875</v>
      </c>
      <c r="O43" s="3">
        <f t="shared" si="3"/>
        <v>29446.125</v>
      </c>
    </row>
    <row r="44" spans="1:15" x14ac:dyDescent="0.25">
      <c r="A44" s="15" t="s">
        <v>763</v>
      </c>
      <c r="B44" s="5" t="s">
        <v>2041</v>
      </c>
      <c r="C44" s="5">
        <v>200</v>
      </c>
      <c r="D44" s="5">
        <v>12.299999999999999</v>
      </c>
      <c r="E44" s="7">
        <f>VLOOKUP(C44,'Taux unitaires'!E:F,2,FALSE)</f>
        <v>1550</v>
      </c>
      <c r="F44" s="6">
        <f t="shared" si="4"/>
        <v>19065</v>
      </c>
      <c r="G44" s="5">
        <f>VLOOKUP(B44,'Durée de vie utile'!$C$1:$E$6,3,FALSE)</f>
        <v>100</v>
      </c>
      <c r="H44" s="5">
        <f>VLOOKUP(B44,'Durée de vie utile'!$C$1:$E$6,2,FALSE)</f>
        <v>80</v>
      </c>
      <c r="I44" s="6">
        <f t="shared" si="5"/>
        <v>238.3125</v>
      </c>
      <c r="J44" s="6">
        <f>(F44/(1+'Autres hypothèses'!$D$5))*('Autres hypothèses'!$D$5/(((1+'Autres hypothèses'!$D$5)^'Conduite princ. - égout pluvial'!H44-1)))</f>
        <v>155.14096772201893</v>
      </c>
      <c r="K44" s="5">
        <v>1959</v>
      </c>
      <c r="L44" s="5">
        <f t="shared" si="0"/>
        <v>63</v>
      </c>
      <c r="M44" s="1">
        <f t="shared" si="1"/>
        <v>0.78749999999999998</v>
      </c>
      <c r="N44" s="3">
        <f t="shared" si="2"/>
        <v>15013.6875</v>
      </c>
      <c r="O44" s="3">
        <f t="shared" si="3"/>
        <v>4051.3125</v>
      </c>
    </row>
    <row r="45" spans="1:15" x14ac:dyDescent="0.25">
      <c r="A45" s="15" t="s">
        <v>764</v>
      </c>
      <c r="B45" s="5" t="s">
        <v>2042</v>
      </c>
      <c r="C45" s="5">
        <v>450</v>
      </c>
      <c r="D45" s="5">
        <v>45.2</v>
      </c>
      <c r="E45" s="7">
        <f>VLOOKUP(C45,'Taux unitaires'!E:F,2,FALSE)</f>
        <v>1700</v>
      </c>
      <c r="F45" s="6">
        <f t="shared" si="4"/>
        <v>76840</v>
      </c>
      <c r="G45" s="5">
        <f>VLOOKUP(B45,'Durée de vie utile'!$C$1:$E$6,3,FALSE)</f>
        <v>100</v>
      </c>
      <c r="H45" s="5">
        <f>VLOOKUP(B45,'Durée de vie utile'!$C$1:$E$6,2,FALSE)</f>
        <v>80</v>
      </c>
      <c r="I45" s="6">
        <f t="shared" si="5"/>
        <v>960.5</v>
      </c>
      <c r="J45" s="6">
        <f>(F45/(1+'Autres hypothèses'!$D$5))*('Autres hypothèses'!$D$5/(((1+'Autres hypothèses'!$D$5)^'Conduite princ. - égout pluvial'!H45-1)))</f>
        <v>625.28360659637735</v>
      </c>
      <c r="K45" s="5">
        <v>1963</v>
      </c>
      <c r="L45" s="5">
        <f t="shared" si="0"/>
        <v>59</v>
      </c>
      <c r="M45" s="1">
        <f t="shared" si="1"/>
        <v>0.73750000000000004</v>
      </c>
      <c r="N45" s="3">
        <f t="shared" si="2"/>
        <v>56669.5</v>
      </c>
      <c r="O45" s="3">
        <f t="shared" si="3"/>
        <v>20170.5</v>
      </c>
    </row>
    <row r="46" spans="1:15" x14ac:dyDescent="0.25">
      <c r="A46" s="15" t="s">
        <v>765</v>
      </c>
      <c r="B46" s="5" t="s">
        <v>2043</v>
      </c>
      <c r="C46" s="5">
        <v>450</v>
      </c>
      <c r="D46" s="5">
        <v>79.699999999999989</v>
      </c>
      <c r="E46" s="7">
        <f>VLOOKUP(C46,'Taux unitaires'!E:F,2,FALSE)</f>
        <v>1700</v>
      </c>
      <c r="F46" s="6">
        <f t="shared" si="4"/>
        <v>135489.99999999997</v>
      </c>
      <c r="G46" s="5">
        <f>VLOOKUP(B46,'Durée de vie utile'!$C$1:$E$6,3,FALSE)</f>
        <v>100</v>
      </c>
      <c r="H46" s="5">
        <f>VLOOKUP(B46,'Durée de vie utile'!$C$1:$E$6,2,FALSE)</f>
        <v>80</v>
      </c>
      <c r="I46" s="6">
        <f t="shared" si="5"/>
        <v>1693.6249999999995</v>
      </c>
      <c r="J46" s="6">
        <f>(F46/(1+'Autres hypothèses'!$D$5))*('Autres hypothèses'!$D$5/(((1+'Autres hypothèses'!$D$5)^'Conduite princ. - égout pluvial'!H46-1)))</f>
        <v>1102.5465364099839</v>
      </c>
      <c r="K46" s="5">
        <v>1963</v>
      </c>
      <c r="L46" s="5">
        <f t="shared" si="0"/>
        <v>59</v>
      </c>
      <c r="M46" s="1">
        <f t="shared" si="1"/>
        <v>0.73750000000000004</v>
      </c>
      <c r="N46" s="3">
        <f t="shared" si="2"/>
        <v>99923.874999999985</v>
      </c>
      <c r="O46" s="3">
        <f t="shared" si="3"/>
        <v>35566.124999999985</v>
      </c>
    </row>
    <row r="47" spans="1:15" x14ac:dyDescent="0.25">
      <c r="A47" s="15" t="s">
        <v>766</v>
      </c>
      <c r="B47" s="5" t="s">
        <v>2044</v>
      </c>
      <c r="C47" s="5">
        <v>375</v>
      </c>
      <c r="D47" s="5">
        <v>16.900000000000002</v>
      </c>
      <c r="E47" s="7">
        <f>VLOOKUP(C47,'Taux unitaires'!E:F,2,FALSE)</f>
        <v>1650</v>
      </c>
      <c r="F47" s="6">
        <f t="shared" si="4"/>
        <v>27885.000000000004</v>
      </c>
      <c r="G47" s="5">
        <f>VLOOKUP(B47,'Durée de vie utile'!$C$1:$E$6,3,FALSE)</f>
        <v>100</v>
      </c>
      <c r="H47" s="5">
        <f>VLOOKUP(B47,'Durée de vie utile'!$C$1:$E$6,2,FALSE)</f>
        <v>80</v>
      </c>
      <c r="I47" s="6">
        <f t="shared" si="5"/>
        <v>348.56250000000006</v>
      </c>
      <c r="J47" s="6">
        <f>(F47/(1+'Autres hypothèses'!$D$5))*('Autres hypothèses'!$D$5/(((1+'Autres hypothèses'!$D$5)^'Conduite princ. - égout pluvial'!H47-1)))</f>
        <v>226.91350038964063</v>
      </c>
      <c r="K47" s="5">
        <v>1963</v>
      </c>
      <c r="L47" s="5">
        <f t="shared" si="0"/>
        <v>59</v>
      </c>
      <c r="M47" s="1">
        <f t="shared" si="1"/>
        <v>0.73750000000000004</v>
      </c>
      <c r="N47" s="3">
        <f t="shared" si="2"/>
        <v>20565.187500000004</v>
      </c>
      <c r="O47" s="3">
        <f t="shared" si="3"/>
        <v>7319.8125</v>
      </c>
    </row>
    <row r="48" spans="1:15" x14ac:dyDescent="0.25">
      <c r="A48" s="15" t="s">
        <v>767</v>
      </c>
      <c r="B48" s="5" t="s">
        <v>2045</v>
      </c>
      <c r="C48" s="5">
        <v>375</v>
      </c>
      <c r="D48" s="5">
        <v>56.5</v>
      </c>
      <c r="E48" s="7">
        <f>VLOOKUP(C48,'Taux unitaires'!E:F,2,FALSE)</f>
        <v>1650</v>
      </c>
      <c r="F48" s="6">
        <f t="shared" si="4"/>
        <v>93225</v>
      </c>
      <c r="G48" s="5">
        <f>VLOOKUP(B48,'Durée de vie utile'!$C$1:$E$6,3,FALSE)</f>
        <v>100</v>
      </c>
      <c r="H48" s="5">
        <f>VLOOKUP(B48,'Durée de vie utile'!$C$1:$E$6,2,FALSE)</f>
        <v>80</v>
      </c>
      <c r="I48" s="6">
        <f t="shared" si="5"/>
        <v>1165.3125</v>
      </c>
      <c r="J48" s="6">
        <f>(F48/(1+'Autres hypothèses'!$D$5))*('Autres hypothèses'!$D$5/(((1+'Autres hypothèses'!$D$5)^'Conduite princ. - égout pluvial'!H48-1)))</f>
        <v>758.61614035589901</v>
      </c>
      <c r="K48" s="5">
        <v>1964</v>
      </c>
      <c r="L48" s="5">
        <f t="shared" si="0"/>
        <v>58</v>
      </c>
      <c r="M48" s="1">
        <f t="shared" si="1"/>
        <v>0.72499999999999998</v>
      </c>
      <c r="N48" s="3">
        <f t="shared" si="2"/>
        <v>67588.125</v>
      </c>
      <c r="O48" s="3">
        <f t="shared" si="3"/>
        <v>25636.875</v>
      </c>
    </row>
    <row r="49" spans="1:15" x14ac:dyDescent="0.25">
      <c r="A49" s="15" t="s">
        <v>768</v>
      </c>
      <c r="B49" s="5" t="s">
        <v>2046</v>
      </c>
      <c r="C49" s="5">
        <v>200</v>
      </c>
      <c r="D49" s="5">
        <v>13</v>
      </c>
      <c r="E49" s="7">
        <f>VLOOKUP(C49,'Taux unitaires'!E:F,2,FALSE)</f>
        <v>1550</v>
      </c>
      <c r="F49" s="6">
        <f t="shared" si="4"/>
        <v>20150</v>
      </c>
      <c r="G49" s="5">
        <f>VLOOKUP(B49,'Durée de vie utile'!$C$1:$E$6,3,FALSE)</f>
        <v>100</v>
      </c>
      <c r="H49" s="5">
        <f>VLOOKUP(B49,'Durée de vie utile'!$C$1:$E$6,2,FALSE)</f>
        <v>80</v>
      </c>
      <c r="I49" s="6">
        <f t="shared" si="5"/>
        <v>251.875</v>
      </c>
      <c r="J49" s="6">
        <f>(F49/(1+'Autres hypothèses'!$D$5))*('Autres hypothèses'!$D$5/(((1+'Autres hypothèses'!$D$5)^'Conduite princ. - égout pluvial'!H49-1)))</f>
        <v>163.97012848668666</v>
      </c>
      <c r="K49" s="5">
        <v>1964</v>
      </c>
      <c r="L49" s="5">
        <f t="shared" si="0"/>
        <v>58</v>
      </c>
      <c r="M49" s="1">
        <f t="shared" si="1"/>
        <v>0.72499999999999998</v>
      </c>
      <c r="N49" s="3">
        <f t="shared" si="2"/>
        <v>14608.75</v>
      </c>
      <c r="O49" s="3">
        <f t="shared" si="3"/>
        <v>5541.25</v>
      </c>
    </row>
    <row r="50" spans="1:15" x14ac:dyDescent="0.25">
      <c r="A50" s="15" t="s">
        <v>769</v>
      </c>
      <c r="B50" s="5" t="s">
        <v>2047</v>
      </c>
      <c r="C50" s="5">
        <v>450</v>
      </c>
      <c r="D50" s="5">
        <v>83.699999999999989</v>
      </c>
      <c r="E50" s="7">
        <f>VLOOKUP(C50,'Taux unitaires'!E:F,2,FALSE)</f>
        <v>1700</v>
      </c>
      <c r="F50" s="6">
        <f t="shared" si="4"/>
        <v>142289.99999999997</v>
      </c>
      <c r="G50" s="5">
        <f>VLOOKUP(B50,'Durée de vie utile'!$C$1:$E$6,3,FALSE)</f>
        <v>100</v>
      </c>
      <c r="H50" s="5">
        <f>VLOOKUP(B50,'Durée de vie utile'!$C$1:$E$6,2,FALSE)</f>
        <v>80</v>
      </c>
      <c r="I50" s="6">
        <f t="shared" si="5"/>
        <v>1778.6249999999995</v>
      </c>
      <c r="J50" s="6">
        <f>(F50/(1+'Autres hypothèses'!$D$5))*('Autres hypothèses'!$D$5/(((1+'Autres hypothèses'!$D$5)^'Conduite princ. - égout pluvial'!H50-1)))</f>
        <v>1157.8813688521411</v>
      </c>
      <c r="K50" s="5">
        <v>1965</v>
      </c>
      <c r="L50" s="5">
        <f t="shared" si="0"/>
        <v>57</v>
      </c>
      <c r="M50" s="1">
        <f t="shared" si="1"/>
        <v>0.71250000000000002</v>
      </c>
      <c r="N50" s="3">
        <f t="shared" si="2"/>
        <v>101381.62499999999</v>
      </c>
      <c r="O50" s="3">
        <f t="shared" si="3"/>
        <v>40908.374999999985</v>
      </c>
    </row>
    <row r="51" spans="1:15" x14ac:dyDescent="0.25">
      <c r="A51" s="15" t="s">
        <v>770</v>
      </c>
      <c r="B51" s="5" t="s">
        <v>135</v>
      </c>
      <c r="C51" s="5">
        <v>450</v>
      </c>
      <c r="D51" s="5">
        <v>25.700000000000003</v>
      </c>
      <c r="E51" s="7">
        <f>VLOOKUP(C51,'Taux unitaires'!E:F,2,FALSE)</f>
        <v>1700</v>
      </c>
      <c r="F51" s="6">
        <f t="shared" si="4"/>
        <v>43690.000000000007</v>
      </c>
      <c r="G51" s="5">
        <f>VLOOKUP(B51,'Durée de vie utile'!$C$1:$E$6,3,FALSE)</f>
        <v>125</v>
      </c>
      <c r="H51" s="5">
        <f>VLOOKUP(B51,'Durée de vie utile'!$C$1:$E$6,2,FALSE)</f>
        <v>90</v>
      </c>
      <c r="I51" s="6">
        <f t="shared" si="5"/>
        <v>485.44444444444451</v>
      </c>
      <c r="J51" s="6">
        <f>(F51/(1+'Autres hypothèses'!$D$5))*('Autres hypothèses'!$D$5/(((1+'Autres hypothèses'!$D$5)^'Conduite princ. - égout pluvial'!H51-1)))</f>
        <v>298.60865697421099</v>
      </c>
      <c r="K51" s="5">
        <v>1965</v>
      </c>
      <c r="L51" s="5">
        <f t="shared" si="0"/>
        <v>57</v>
      </c>
      <c r="M51" s="1">
        <f t="shared" si="1"/>
        <v>0.6333333333333333</v>
      </c>
      <c r="N51" s="3">
        <f t="shared" si="2"/>
        <v>27670.333333333336</v>
      </c>
      <c r="O51" s="3">
        <f t="shared" si="3"/>
        <v>16019.666666666672</v>
      </c>
    </row>
    <row r="52" spans="1:15" x14ac:dyDescent="0.25">
      <c r="A52" s="15" t="s">
        <v>771</v>
      </c>
      <c r="B52" s="5" t="s">
        <v>2048</v>
      </c>
      <c r="C52" s="5">
        <v>200</v>
      </c>
      <c r="D52" s="5">
        <v>62.1</v>
      </c>
      <c r="E52" s="7">
        <f>VLOOKUP(C52,'Taux unitaires'!E:F,2,FALSE)</f>
        <v>1550</v>
      </c>
      <c r="F52" s="6">
        <f t="shared" si="4"/>
        <v>96255</v>
      </c>
      <c r="G52" s="5">
        <f>VLOOKUP(B52,'Durée de vie utile'!$C$1:$E$6,3,FALSE)</f>
        <v>100</v>
      </c>
      <c r="H52" s="5">
        <f>VLOOKUP(B52,'Durée de vie utile'!$C$1:$E$6,2,FALSE)</f>
        <v>80</v>
      </c>
      <c r="I52" s="6">
        <f t="shared" si="5"/>
        <v>1203.1875</v>
      </c>
      <c r="J52" s="6">
        <f>(F52/(1+'Autres hypothèses'!$D$5))*('Autres hypothèses'!$D$5/(((1+'Autres hypothèses'!$D$5)^'Conduite princ. - égout pluvial'!H52-1)))</f>
        <v>783.27269069409556</v>
      </c>
      <c r="K52" s="5">
        <v>1965</v>
      </c>
      <c r="L52" s="5">
        <f t="shared" si="0"/>
        <v>57</v>
      </c>
      <c r="M52" s="1">
        <f t="shared" si="1"/>
        <v>0.71250000000000002</v>
      </c>
      <c r="N52" s="3">
        <f t="shared" si="2"/>
        <v>68581.6875</v>
      </c>
      <c r="O52" s="3">
        <f t="shared" si="3"/>
        <v>27673.3125</v>
      </c>
    </row>
    <row r="53" spans="1:15" x14ac:dyDescent="0.25">
      <c r="A53" s="15" t="s">
        <v>772</v>
      </c>
      <c r="B53" s="5" t="s">
        <v>2049</v>
      </c>
      <c r="C53" s="5">
        <v>200</v>
      </c>
      <c r="D53" s="5">
        <v>83.6</v>
      </c>
      <c r="E53" s="7">
        <f>VLOOKUP(C53,'Taux unitaires'!E:F,2,FALSE)</f>
        <v>1550</v>
      </c>
      <c r="F53" s="6">
        <f t="shared" si="4"/>
        <v>129579.99999999999</v>
      </c>
      <c r="G53" s="5">
        <f>VLOOKUP(B53,'Durée de vie utile'!$C$1:$E$6,3,FALSE)</f>
        <v>100</v>
      </c>
      <c r="H53" s="5">
        <f>VLOOKUP(B53,'Durée de vie utile'!$C$1:$E$6,2,FALSE)</f>
        <v>70</v>
      </c>
      <c r="I53" s="6">
        <f t="shared" si="5"/>
        <v>1851.1428571428569</v>
      </c>
      <c r="J53" s="6">
        <f>(F53/(1+'Autres hypothèses'!$D$5))*('Autres hypothèses'!$D$5/(((1+'Autres hypothèses'!$D$5)^'Conduite princ. - égout pluvial'!H53-1)))</f>
        <v>1274.3513891199134</v>
      </c>
      <c r="K53" s="5">
        <v>1965</v>
      </c>
      <c r="L53" s="5">
        <f t="shared" si="0"/>
        <v>57</v>
      </c>
      <c r="M53" s="1">
        <f t="shared" si="1"/>
        <v>0.81428571428571428</v>
      </c>
      <c r="N53" s="3">
        <f t="shared" si="2"/>
        <v>105515.14285714284</v>
      </c>
      <c r="O53" s="3">
        <f t="shared" si="3"/>
        <v>24064.857142857145</v>
      </c>
    </row>
    <row r="54" spans="1:15" x14ac:dyDescent="0.25">
      <c r="A54" s="15" t="s">
        <v>773</v>
      </c>
      <c r="B54" s="5" t="s">
        <v>2050</v>
      </c>
      <c r="C54" s="5">
        <v>200</v>
      </c>
      <c r="D54" s="5">
        <v>76.399999999999991</v>
      </c>
      <c r="E54" s="7">
        <f>VLOOKUP(C54,'Taux unitaires'!E:F,2,FALSE)</f>
        <v>1550</v>
      </c>
      <c r="F54" s="6">
        <f t="shared" si="4"/>
        <v>118419.99999999999</v>
      </c>
      <c r="G54" s="5">
        <f>VLOOKUP(B54,'Durée de vie utile'!$C$1:$E$6,3,FALSE)</f>
        <v>100</v>
      </c>
      <c r="H54" s="5">
        <f>VLOOKUP(B54,'Durée de vie utile'!$C$1:$E$6,2,FALSE)</f>
        <v>80</v>
      </c>
      <c r="I54" s="6">
        <f t="shared" si="5"/>
        <v>1480.2499999999998</v>
      </c>
      <c r="J54" s="6">
        <f>(F54/(1+'Autres hypothèses'!$D$5))*('Autres hypothèses'!$D$5/(((1+'Autres hypothèses'!$D$5)^'Conduite princ. - égout pluvial'!H54-1)))</f>
        <v>963.63983202945087</v>
      </c>
      <c r="K54" s="5">
        <v>1965</v>
      </c>
      <c r="L54" s="5">
        <f t="shared" si="0"/>
        <v>57</v>
      </c>
      <c r="M54" s="1">
        <f t="shared" si="1"/>
        <v>0.71250000000000002</v>
      </c>
      <c r="N54" s="3">
        <f t="shared" si="2"/>
        <v>84374.249999999985</v>
      </c>
      <c r="O54" s="3">
        <f t="shared" si="3"/>
        <v>34045.75</v>
      </c>
    </row>
    <row r="55" spans="1:15" x14ac:dyDescent="0.25">
      <c r="A55" s="15" t="s">
        <v>774</v>
      </c>
      <c r="B55" s="5" t="s">
        <v>2051</v>
      </c>
      <c r="C55" s="5">
        <v>450</v>
      </c>
      <c r="D55" s="5">
        <v>31.8</v>
      </c>
      <c r="E55" s="7">
        <f>VLOOKUP(C55,'Taux unitaires'!E:F,2,FALSE)</f>
        <v>1700</v>
      </c>
      <c r="F55" s="6">
        <f t="shared" si="4"/>
        <v>54060</v>
      </c>
      <c r="G55" s="5">
        <f>VLOOKUP(B55,'Durée de vie utile'!$C$1:$E$6,3,FALSE)</f>
        <v>100</v>
      </c>
      <c r="H55" s="5">
        <f>VLOOKUP(B55,'Durée de vie utile'!$C$1:$E$6,2,FALSE)</f>
        <v>70</v>
      </c>
      <c r="I55" s="6">
        <f t="shared" si="5"/>
        <v>772.28571428571433</v>
      </c>
      <c r="J55" s="6">
        <f>(F55/(1+'Autres hypothèses'!$D$5))*('Autres hypothèses'!$D$5/(((1+'Autres hypothèses'!$D$5)^'Conduite princ. - égout pluvial'!H55-1)))</f>
        <v>531.65176798751759</v>
      </c>
      <c r="K55" s="5">
        <v>1965</v>
      </c>
      <c r="L55" s="5">
        <f t="shared" si="0"/>
        <v>57</v>
      </c>
      <c r="M55" s="1">
        <f t="shared" si="1"/>
        <v>0.81428571428571428</v>
      </c>
      <c r="N55" s="3">
        <f t="shared" si="2"/>
        <v>44020.285714285717</v>
      </c>
      <c r="O55" s="3">
        <f t="shared" si="3"/>
        <v>10039.714285714283</v>
      </c>
    </row>
    <row r="56" spans="1:15" x14ac:dyDescent="0.25">
      <c r="A56" s="15" t="s">
        <v>775</v>
      </c>
      <c r="B56" s="5" t="s">
        <v>2052</v>
      </c>
      <c r="C56" s="5">
        <v>200</v>
      </c>
      <c r="D56" s="5">
        <v>46.1</v>
      </c>
      <c r="E56" s="7">
        <f>VLOOKUP(C56,'Taux unitaires'!E:F,2,FALSE)</f>
        <v>1550</v>
      </c>
      <c r="F56" s="6">
        <f t="shared" si="4"/>
        <v>71455</v>
      </c>
      <c r="G56" s="5">
        <f>VLOOKUP(B56,'Durée de vie utile'!$C$1:$E$6,3,FALSE)</f>
        <v>100</v>
      </c>
      <c r="H56" s="5">
        <f>VLOOKUP(B56,'Durée de vie utile'!$C$1:$E$6,2,FALSE)</f>
        <v>80</v>
      </c>
      <c r="I56" s="6">
        <f t="shared" si="5"/>
        <v>893.1875</v>
      </c>
      <c r="J56" s="6">
        <f>(F56/(1+'Autres hypothèses'!$D$5))*('Autres hypothèses'!$D$5/(((1+'Autres hypothèses'!$D$5)^'Conduite princ. - égout pluvial'!H56-1)))</f>
        <v>581.46330178740436</v>
      </c>
      <c r="K56" s="5">
        <v>1965</v>
      </c>
      <c r="L56" s="5">
        <f t="shared" si="0"/>
        <v>57</v>
      </c>
      <c r="M56" s="1">
        <f t="shared" si="1"/>
        <v>0.71250000000000002</v>
      </c>
      <c r="N56" s="3">
        <f t="shared" si="2"/>
        <v>50911.6875</v>
      </c>
      <c r="O56" s="3">
        <f t="shared" si="3"/>
        <v>20543.3125</v>
      </c>
    </row>
    <row r="57" spans="1:15" x14ac:dyDescent="0.25">
      <c r="A57" s="15" t="s">
        <v>776</v>
      </c>
      <c r="B57" s="5" t="s">
        <v>2053</v>
      </c>
      <c r="C57" s="5">
        <v>200</v>
      </c>
      <c r="D57" s="5">
        <v>59</v>
      </c>
      <c r="E57" s="7">
        <f>VLOOKUP(C57,'Taux unitaires'!E:F,2,FALSE)</f>
        <v>1550</v>
      </c>
      <c r="F57" s="6">
        <f t="shared" si="4"/>
        <v>91450</v>
      </c>
      <c r="G57" s="5">
        <f>VLOOKUP(B57,'Durée de vie utile'!$C$1:$E$6,3,FALSE)</f>
        <v>125</v>
      </c>
      <c r="H57" s="5">
        <f>VLOOKUP(B57,'Durée de vie utile'!$C$1:$E$6,2,FALSE)</f>
        <v>80</v>
      </c>
      <c r="I57" s="6">
        <f t="shared" si="5"/>
        <v>1143.125</v>
      </c>
      <c r="J57" s="6">
        <f>(F57/(1+'Autres hypothèses'!$D$5))*('Autres hypothèses'!$D$5/(((1+'Autres hypothèses'!$D$5)^'Conduite princ. - égout pluvial'!H57-1)))</f>
        <v>744.17212159342421</v>
      </c>
      <c r="K57" s="5">
        <v>1965</v>
      </c>
      <c r="L57" s="5">
        <f t="shared" si="0"/>
        <v>57</v>
      </c>
      <c r="M57" s="1">
        <f t="shared" si="1"/>
        <v>0.71250000000000002</v>
      </c>
      <c r="N57" s="3">
        <f t="shared" si="2"/>
        <v>65158.125</v>
      </c>
      <c r="O57" s="3">
        <f t="shared" si="3"/>
        <v>26291.875</v>
      </c>
    </row>
    <row r="58" spans="1:15" x14ac:dyDescent="0.25">
      <c r="A58" s="15" t="s">
        <v>777</v>
      </c>
      <c r="B58" s="5" t="s">
        <v>2054</v>
      </c>
      <c r="C58" s="5">
        <v>200</v>
      </c>
      <c r="D58" s="5">
        <v>9.5</v>
      </c>
      <c r="E58" s="7">
        <f>VLOOKUP(C58,'Taux unitaires'!E:F,2,FALSE)</f>
        <v>1550</v>
      </c>
      <c r="F58" s="6">
        <f t="shared" si="4"/>
        <v>14725</v>
      </c>
      <c r="G58" s="5">
        <f>VLOOKUP(B58,'Durée de vie utile'!$C$1:$E$6,3,FALSE)</f>
        <v>125</v>
      </c>
      <c r="H58" s="5">
        <f>VLOOKUP(B58,'Durée de vie utile'!$C$1:$E$6,2,FALSE)</f>
        <v>80</v>
      </c>
      <c r="I58" s="6">
        <f t="shared" si="5"/>
        <v>184.0625</v>
      </c>
      <c r="J58" s="6">
        <f>(F58/(1+'Autres hypothèses'!$D$5))*('Autres hypothèses'!$D$5/(((1+'Autres hypothèses'!$D$5)^'Conduite princ. - égout pluvial'!H58-1)))</f>
        <v>119.82432466334797</v>
      </c>
      <c r="K58" s="5">
        <v>1965</v>
      </c>
      <c r="L58" s="5">
        <f t="shared" si="0"/>
        <v>57</v>
      </c>
      <c r="M58" s="1">
        <f t="shared" si="1"/>
        <v>0.71250000000000002</v>
      </c>
      <c r="N58" s="3">
        <f t="shared" si="2"/>
        <v>10491.5625</v>
      </c>
      <c r="O58" s="3">
        <f t="shared" si="3"/>
        <v>4233.4375</v>
      </c>
    </row>
    <row r="59" spans="1:15" x14ac:dyDescent="0.25">
      <c r="A59" s="15" t="s">
        <v>778</v>
      </c>
      <c r="B59" s="5" t="s">
        <v>2055</v>
      </c>
      <c r="C59" s="5">
        <v>250</v>
      </c>
      <c r="D59" s="5">
        <v>98.5</v>
      </c>
      <c r="E59" s="7">
        <f>VLOOKUP(C59,'Taux unitaires'!E:F,2,FALSE)</f>
        <v>1600</v>
      </c>
      <c r="F59" s="6">
        <f t="shared" si="4"/>
        <v>157600</v>
      </c>
      <c r="G59" s="5">
        <f>VLOOKUP(B59,'Durée de vie utile'!$C$1:$E$6,3,FALSE)</f>
        <v>125</v>
      </c>
      <c r="H59" s="5">
        <f>VLOOKUP(B59,'Durée de vie utile'!$C$1:$E$6,2,FALSE)</f>
        <v>90</v>
      </c>
      <c r="I59" s="6">
        <f t="shared" si="5"/>
        <v>1751.1111111111111</v>
      </c>
      <c r="J59" s="6">
        <f>(F59/(1+'Autres hypothèses'!$D$5))*('Autres hypothèses'!$D$5/(((1+'Autres hypothèses'!$D$5)^'Conduite princ. - égout pluvial'!H59-1)))</f>
        <v>1077.1509347478977</v>
      </c>
      <c r="K59" s="5">
        <v>1965</v>
      </c>
      <c r="L59" s="5">
        <f t="shared" si="0"/>
        <v>57</v>
      </c>
      <c r="M59" s="1">
        <f t="shared" si="1"/>
        <v>0.6333333333333333</v>
      </c>
      <c r="N59" s="3">
        <f t="shared" si="2"/>
        <v>99813.333333333328</v>
      </c>
      <c r="O59" s="3">
        <f t="shared" si="3"/>
        <v>57786.666666666672</v>
      </c>
    </row>
    <row r="60" spans="1:15" x14ac:dyDescent="0.25">
      <c r="A60" s="15" t="s">
        <v>779</v>
      </c>
      <c r="B60" s="5" t="s">
        <v>2056</v>
      </c>
      <c r="C60" s="5">
        <v>250</v>
      </c>
      <c r="D60" s="5">
        <v>67.199999999999989</v>
      </c>
      <c r="E60" s="7">
        <f>VLOOKUP(C60,'Taux unitaires'!E:F,2,FALSE)</f>
        <v>1600</v>
      </c>
      <c r="F60" s="6">
        <f t="shared" si="4"/>
        <v>107519.99999999999</v>
      </c>
      <c r="G60" s="5">
        <f>VLOOKUP(B60,'Durée de vie utile'!$C$1:$E$6,3,FALSE)</f>
        <v>125</v>
      </c>
      <c r="H60" s="5">
        <f>VLOOKUP(B60,'Durée de vie utile'!$C$1:$E$6,2,FALSE)</f>
        <v>80</v>
      </c>
      <c r="I60" s="6">
        <f t="shared" si="5"/>
        <v>1343.9999999999998</v>
      </c>
      <c r="J60" s="6">
        <f>(F60/(1+'Autres hypothèses'!$D$5))*('Autres hypothèses'!$D$5/(((1+'Autres hypothèses'!$D$5)^'Conduite princ. - égout pluvial'!H60-1)))</f>
        <v>874.94135061481643</v>
      </c>
      <c r="K60" s="5">
        <v>1965</v>
      </c>
      <c r="L60" s="5">
        <f t="shared" si="0"/>
        <v>57</v>
      </c>
      <c r="M60" s="1">
        <f t="shared" si="1"/>
        <v>0.71250000000000002</v>
      </c>
      <c r="N60" s="3">
        <f t="shared" si="2"/>
        <v>76607.999999999985</v>
      </c>
      <c r="O60" s="3">
        <f t="shared" si="3"/>
        <v>30912</v>
      </c>
    </row>
    <row r="61" spans="1:15" x14ac:dyDescent="0.25">
      <c r="A61" s="15" t="s">
        <v>780</v>
      </c>
      <c r="B61" s="5" t="s">
        <v>2057</v>
      </c>
      <c r="C61" s="5">
        <v>200</v>
      </c>
      <c r="D61" s="5">
        <v>2.6</v>
      </c>
      <c r="E61" s="7">
        <f>VLOOKUP(C61,'Taux unitaires'!E:F,2,FALSE)</f>
        <v>1550</v>
      </c>
      <c r="F61" s="6">
        <f t="shared" si="4"/>
        <v>4030</v>
      </c>
      <c r="G61" s="5">
        <f>VLOOKUP(B61,'Durée de vie utile'!$C$1:$E$6,3,FALSE)</f>
        <v>125</v>
      </c>
      <c r="H61" s="5">
        <f>VLOOKUP(B61,'Durée de vie utile'!$C$1:$E$6,2,FALSE)</f>
        <v>90</v>
      </c>
      <c r="I61" s="6">
        <f t="shared" si="5"/>
        <v>44.777777777777779</v>
      </c>
      <c r="J61" s="6">
        <f>(F61/(1+'Autres hypothèses'!$D$5))*('Autres hypothèses'!$D$5/(((1+'Autres hypothèses'!$D$5)^'Conduite princ. - égout pluvial'!H61-1)))</f>
        <v>27.543897633464642</v>
      </c>
      <c r="K61" s="5">
        <v>1965</v>
      </c>
      <c r="L61" s="5">
        <f t="shared" si="0"/>
        <v>57</v>
      </c>
      <c r="M61" s="1">
        <f t="shared" si="1"/>
        <v>0.6333333333333333</v>
      </c>
      <c r="N61" s="3">
        <f t="shared" si="2"/>
        <v>2552.333333333333</v>
      </c>
      <c r="O61" s="3">
        <f t="shared" si="3"/>
        <v>1477.666666666667</v>
      </c>
    </row>
    <row r="62" spans="1:15" x14ac:dyDescent="0.25">
      <c r="A62" s="15" t="s">
        <v>781</v>
      </c>
      <c r="B62" s="5" t="s">
        <v>2058</v>
      </c>
      <c r="C62" s="5">
        <v>200</v>
      </c>
      <c r="D62" s="5">
        <v>25</v>
      </c>
      <c r="E62" s="7">
        <f>VLOOKUP(C62,'Taux unitaires'!E:F,2,FALSE)</f>
        <v>1550</v>
      </c>
      <c r="F62" s="6">
        <f t="shared" si="4"/>
        <v>38750</v>
      </c>
      <c r="G62" s="5">
        <f>VLOOKUP(B62,'Durée de vie utile'!$C$1:$E$6,3,FALSE)</f>
        <v>125</v>
      </c>
      <c r="H62" s="5">
        <f>VLOOKUP(B62,'Durée de vie utile'!$C$1:$E$6,2,FALSE)</f>
        <v>80</v>
      </c>
      <c r="I62" s="6">
        <f t="shared" si="5"/>
        <v>484.375</v>
      </c>
      <c r="J62" s="6">
        <f>(F62/(1+'Autres hypothèses'!$D$5))*('Autres hypothèses'!$D$5/(((1+'Autres hypothèses'!$D$5)^'Conduite princ. - égout pluvial'!H62-1)))</f>
        <v>315.32717016670512</v>
      </c>
      <c r="K62" s="5">
        <v>1972</v>
      </c>
      <c r="L62" s="5">
        <f t="shared" si="0"/>
        <v>50</v>
      </c>
      <c r="M62" s="1">
        <f t="shared" si="1"/>
        <v>0.625</v>
      </c>
      <c r="N62" s="3">
        <f t="shared" si="2"/>
        <v>24218.75</v>
      </c>
      <c r="O62" s="3">
        <f t="shared" si="3"/>
        <v>14531.25</v>
      </c>
    </row>
    <row r="63" spans="1:15" x14ac:dyDescent="0.25">
      <c r="A63" s="15" t="s">
        <v>782</v>
      </c>
      <c r="B63" s="5" t="s">
        <v>2059</v>
      </c>
      <c r="C63" s="5">
        <v>200</v>
      </c>
      <c r="D63" s="5">
        <v>92.899999999999991</v>
      </c>
      <c r="E63" s="7">
        <f>VLOOKUP(C63,'Taux unitaires'!E:F,2,FALSE)</f>
        <v>1550</v>
      </c>
      <c r="F63" s="6">
        <f t="shared" si="4"/>
        <v>143995</v>
      </c>
      <c r="G63" s="5">
        <f>VLOOKUP(B63,'Durée de vie utile'!$C$1:$E$6,3,FALSE)</f>
        <v>125</v>
      </c>
      <c r="H63" s="5">
        <f>VLOOKUP(B63,'Durée de vie utile'!$C$1:$E$6,2,FALSE)</f>
        <v>80</v>
      </c>
      <c r="I63" s="6">
        <f t="shared" si="5"/>
        <v>1799.9375</v>
      </c>
      <c r="J63" s="6">
        <f>(F63/(1+'Autres hypothèses'!$D$5))*('Autres hypothèses'!$D$5/(((1+'Autres hypothèses'!$D$5)^'Conduite princ. - égout pluvial'!H63-1)))</f>
        <v>1171.7557643394764</v>
      </c>
      <c r="K63" s="5">
        <v>1965</v>
      </c>
      <c r="L63" s="5">
        <f t="shared" si="0"/>
        <v>57</v>
      </c>
      <c r="M63" s="1">
        <f t="shared" si="1"/>
        <v>0.71250000000000002</v>
      </c>
      <c r="N63" s="3">
        <f t="shared" si="2"/>
        <v>102596.4375</v>
      </c>
      <c r="O63" s="3">
        <f t="shared" si="3"/>
        <v>41398.5625</v>
      </c>
    </row>
    <row r="64" spans="1:15" x14ac:dyDescent="0.25">
      <c r="A64" s="15" t="s">
        <v>783</v>
      </c>
      <c r="B64" s="5" t="s">
        <v>2060</v>
      </c>
      <c r="C64" s="5">
        <v>450</v>
      </c>
      <c r="D64" s="5">
        <v>84.399999999999991</v>
      </c>
      <c r="E64" s="7">
        <f>VLOOKUP(C64,'Taux unitaires'!E:F,2,FALSE)</f>
        <v>1700</v>
      </c>
      <c r="F64" s="6">
        <f t="shared" si="4"/>
        <v>143480</v>
      </c>
      <c r="G64" s="5">
        <f>VLOOKUP(B64,'Durée de vie utile'!$C$1:$E$6,3,FALSE)</f>
        <v>100</v>
      </c>
      <c r="H64" s="5">
        <f>VLOOKUP(B64,'Durée de vie utile'!$C$1:$E$6,2,FALSE)</f>
        <v>80</v>
      </c>
      <c r="I64" s="6">
        <f t="shared" si="5"/>
        <v>1793.5</v>
      </c>
      <c r="J64" s="6">
        <f>(F64/(1+'Autres hypothèses'!$D$5))*('Autres hypothèses'!$D$5/(((1+'Autres hypothèses'!$D$5)^'Conduite princ. - égout pluvial'!H64-1)))</f>
        <v>1167.5649645295189</v>
      </c>
      <c r="K64" s="5">
        <v>1966</v>
      </c>
      <c r="L64" s="5">
        <f t="shared" si="0"/>
        <v>56</v>
      </c>
      <c r="M64" s="1">
        <f t="shared" si="1"/>
        <v>0.7</v>
      </c>
      <c r="N64" s="3">
        <f t="shared" si="2"/>
        <v>100436</v>
      </c>
      <c r="O64" s="3">
        <f t="shared" si="3"/>
        <v>43044</v>
      </c>
    </row>
    <row r="65" spans="1:15" x14ac:dyDescent="0.25">
      <c r="A65" s="15" t="s">
        <v>784</v>
      </c>
      <c r="B65" s="5" t="s">
        <v>2061</v>
      </c>
      <c r="C65" s="5">
        <v>200</v>
      </c>
      <c r="D65" s="5">
        <v>34.4</v>
      </c>
      <c r="E65" s="7">
        <f>VLOOKUP(C65,'Taux unitaires'!E:F,2,FALSE)</f>
        <v>1550</v>
      </c>
      <c r="F65" s="6">
        <f t="shared" si="4"/>
        <v>53320</v>
      </c>
      <c r="G65" s="5">
        <f>VLOOKUP(B65,'Durée de vie utile'!$C$1:$E$6,3,FALSE)</f>
        <v>100</v>
      </c>
      <c r="H65" s="5">
        <f>VLOOKUP(B65,'Durée de vie utile'!$C$1:$E$6,2,FALSE)</f>
        <v>80</v>
      </c>
      <c r="I65" s="6">
        <f t="shared" si="5"/>
        <v>666.5</v>
      </c>
      <c r="J65" s="6">
        <f>(F65/(1+'Autres hypothèses'!$D$5))*('Autres hypothèses'!$D$5/(((1+'Autres hypothèses'!$D$5)^'Conduite princ. - égout pluvial'!H65-1)))</f>
        <v>433.8901861493863</v>
      </c>
      <c r="K65" s="5">
        <v>1967</v>
      </c>
      <c r="L65" s="5">
        <f t="shared" si="0"/>
        <v>55</v>
      </c>
      <c r="M65" s="1">
        <f t="shared" si="1"/>
        <v>0.6875</v>
      </c>
      <c r="N65" s="3">
        <f t="shared" si="2"/>
        <v>36657.5</v>
      </c>
      <c r="O65" s="3">
        <f t="shared" si="3"/>
        <v>16662.5</v>
      </c>
    </row>
    <row r="66" spans="1:15" x14ac:dyDescent="0.25">
      <c r="A66" s="15" t="s">
        <v>785</v>
      </c>
      <c r="B66" s="5" t="s">
        <v>2062</v>
      </c>
      <c r="C66" s="5">
        <v>450</v>
      </c>
      <c r="D66" s="5">
        <v>50.800000000000004</v>
      </c>
      <c r="E66" s="7">
        <f>VLOOKUP(C66,'Taux unitaires'!E:F,2,FALSE)</f>
        <v>1700</v>
      </c>
      <c r="F66" s="6">
        <f t="shared" si="4"/>
        <v>86360</v>
      </c>
      <c r="G66" s="5">
        <f>VLOOKUP(B66,'Durée de vie utile'!$C$1:$E$6,3,FALSE)</f>
        <v>125</v>
      </c>
      <c r="H66" s="5">
        <f>VLOOKUP(B66,'Durée de vie utile'!$C$1:$E$6,2,FALSE)</f>
        <v>90</v>
      </c>
      <c r="I66" s="6">
        <f t="shared" si="5"/>
        <v>959.55555555555554</v>
      </c>
      <c r="J66" s="6">
        <f>(F66/(1+'Autres hypothèses'!$D$5))*('Autres hypothèses'!$D$5/(((1+'Autres hypothèses'!$D$5)^'Conduite princ. - égout pluvial'!H66-1)))</f>
        <v>590.24590561439368</v>
      </c>
      <c r="K66" s="5">
        <v>1968</v>
      </c>
      <c r="L66" s="5">
        <f t="shared" ref="L66:L129" si="6">2022-K66</f>
        <v>54</v>
      </c>
      <c r="M66" s="1">
        <f t="shared" ref="M66:M129" si="7">L66/H66</f>
        <v>0.6</v>
      </c>
      <c r="N66" s="3">
        <f t="shared" ref="N66:N129" si="8">M66*F66</f>
        <v>51816</v>
      </c>
      <c r="O66" s="3">
        <f t="shared" ref="O66:O129" si="9">F66-N66</f>
        <v>34544</v>
      </c>
    </row>
    <row r="67" spans="1:15" x14ac:dyDescent="0.25">
      <c r="A67" s="15" t="s">
        <v>786</v>
      </c>
      <c r="B67" s="5" t="s">
        <v>2063</v>
      </c>
      <c r="C67" s="5">
        <v>200</v>
      </c>
      <c r="D67" s="5">
        <v>23.3</v>
      </c>
      <c r="E67" s="7">
        <f>VLOOKUP(C67,'Taux unitaires'!E:F,2,FALSE)</f>
        <v>1550</v>
      </c>
      <c r="F67" s="6">
        <f t="shared" ref="F67:F130" si="10">D67*E67</f>
        <v>36115</v>
      </c>
      <c r="G67" s="5">
        <f>VLOOKUP(B67,'Durée de vie utile'!$C$1:$E$6,3,FALSE)</f>
        <v>100</v>
      </c>
      <c r="H67" s="5">
        <f>VLOOKUP(B67,'Durée de vie utile'!$C$1:$E$6,2,FALSE)</f>
        <v>80</v>
      </c>
      <c r="I67" s="6">
        <f t="shared" ref="I67:I130" si="11">F67/H67</f>
        <v>451.4375</v>
      </c>
      <c r="J67" s="6">
        <f>(F67/(1+'Autres hypothèses'!$D$5))*('Autres hypothèses'!$D$5/(((1+'Autres hypothèses'!$D$5)^'Conduite princ. - égout pluvial'!H67-1)))</f>
        <v>293.88492259536918</v>
      </c>
      <c r="K67" s="5">
        <v>1968</v>
      </c>
      <c r="L67" s="5">
        <f t="shared" si="6"/>
        <v>54</v>
      </c>
      <c r="M67" s="1">
        <f t="shared" si="7"/>
        <v>0.67500000000000004</v>
      </c>
      <c r="N67" s="3">
        <f t="shared" si="8"/>
        <v>24377.625</v>
      </c>
      <c r="O67" s="3">
        <f t="shared" si="9"/>
        <v>11737.375</v>
      </c>
    </row>
    <row r="68" spans="1:15" x14ac:dyDescent="0.25">
      <c r="A68" s="15" t="s">
        <v>787</v>
      </c>
      <c r="B68" s="5" t="s">
        <v>2064</v>
      </c>
      <c r="C68" s="5">
        <v>200</v>
      </c>
      <c r="D68" s="5">
        <v>66.899999999999991</v>
      </c>
      <c r="E68" s="7">
        <f>VLOOKUP(C68,'Taux unitaires'!E:F,2,FALSE)</f>
        <v>1550</v>
      </c>
      <c r="F68" s="6">
        <f t="shared" si="10"/>
        <v>103694.99999999999</v>
      </c>
      <c r="G68" s="5">
        <f>VLOOKUP(B68,'Durée de vie utile'!$C$1:$E$6,3,FALSE)</f>
        <v>125</v>
      </c>
      <c r="H68" s="5">
        <f>VLOOKUP(B68,'Durée de vie utile'!$C$1:$E$6,2,FALSE)</f>
        <v>80</v>
      </c>
      <c r="I68" s="6">
        <f t="shared" si="11"/>
        <v>1296.1874999999998</v>
      </c>
      <c r="J68" s="6">
        <f>(F68/(1+'Autres hypothèses'!$D$5))*('Autres hypothèses'!$D$5/(((1+'Autres hypothèses'!$D$5)^'Conduite princ. - égout pluvial'!H68-1)))</f>
        <v>843.81550736610291</v>
      </c>
      <c r="K68" s="5">
        <v>1972</v>
      </c>
      <c r="L68" s="5">
        <f t="shared" si="6"/>
        <v>50</v>
      </c>
      <c r="M68" s="1">
        <f t="shared" si="7"/>
        <v>0.625</v>
      </c>
      <c r="N68" s="3">
        <f t="shared" si="8"/>
        <v>64809.374999999993</v>
      </c>
      <c r="O68" s="3">
        <f t="shared" si="9"/>
        <v>38885.624999999993</v>
      </c>
    </row>
    <row r="69" spans="1:15" x14ac:dyDescent="0.25">
      <c r="A69" s="15" t="s">
        <v>788</v>
      </c>
      <c r="B69" s="5" t="s">
        <v>2065</v>
      </c>
      <c r="C69" s="5">
        <v>200</v>
      </c>
      <c r="D69" s="5">
        <v>8.6999999999999993</v>
      </c>
      <c r="E69" s="7">
        <f>VLOOKUP(C69,'Taux unitaires'!E:F,2,FALSE)</f>
        <v>1550</v>
      </c>
      <c r="F69" s="6">
        <f t="shared" si="10"/>
        <v>13484.999999999998</v>
      </c>
      <c r="G69" s="5">
        <f>VLOOKUP(B69,'Durée de vie utile'!$C$1:$E$6,3,FALSE)</f>
        <v>125</v>
      </c>
      <c r="H69" s="5">
        <f>VLOOKUP(B69,'Durée de vie utile'!$C$1:$E$6,2,FALSE)</f>
        <v>80</v>
      </c>
      <c r="I69" s="6">
        <f t="shared" si="11"/>
        <v>168.56249999999997</v>
      </c>
      <c r="J69" s="6">
        <f>(F69/(1+'Autres hypothèses'!$D$5))*('Autres hypothèses'!$D$5/(((1+'Autres hypothèses'!$D$5)^'Conduite princ. - égout pluvial'!H69-1)))</f>
        <v>109.73385521801339</v>
      </c>
      <c r="K69" s="5">
        <v>1968</v>
      </c>
      <c r="L69" s="5">
        <f t="shared" si="6"/>
        <v>54</v>
      </c>
      <c r="M69" s="1">
        <f t="shared" si="7"/>
        <v>0.67500000000000004</v>
      </c>
      <c r="N69" s="3">
        <f t="shared" si="8"/>
        <v>9102.375</v>
      </c>
      <c r="O69" s="3">
        <f t="shared" si="9"/>
        <v>4382.6249999999982</v>
      </c>
    </row>
    <row r="70" spans="1:15" x14ac:dyDescent="0.25">
      <c r="A70" s="15" t="s">
        <v>789</v>
      </c>
      <c r="B70" s="5" t="s">
        <v>2066</v>
      </c>
      <c r="C70" s="5">
        <v>450</v>
      </c>
      <c r="D70" s="5">
        <v>97.899999999999991</v>
      </c>
      <c r="E70" s="7">
        <f>VLOOKUP(C70,'Taux unitaires'!E:F,2,FALSE)</f>
        <v>1700</v>
      </c>
      <c r="F70" s="6">
        <f t="shared" si="10"/>
        <v>166430</v>
      </c>
      <c r="G70" s="5">
        <f>VLOOKUP(B70,'Durée de vie utile'!$C$1:$E$6,3,FALSE)</f>
        <v>100</v>
      </c>
      <c r="H70" s="5">
        <f>VLOOKUP(B70,'Durée de vie utile'!$C$1:$E$6,2,FALSE)</f>
        <v>80</v>
      </c>
      <c r="I70" s="6">
        <f t="shared" si="11"/>
        <v>2080.375</v>
      </c>
      <c r="J70" s="6">
        <f>(F70/(1+'Autres hypothèses'!$D$5))*('Autres hypothèses'!$D$5/(((1+'Autres hypothèses'!$D$5)^'Conduite princ. - égout pluvial'!H70-1)))</f>
        <v>1354.3200240217998</v>
      </c>
      <c r="K70" s="5">
        <v>1972</v>
      </c>
      <c r="L70" s="5">
        <f t="shared" si="6"/>
        <v>50</v>
      </c>
      <c r="M70" s="1">
        <f t="shared" si="7"/>
        <v>0.625</v>
      </c>
      <c r="N70" s="3">
        <f t="shared" si="8"/>
        <v>104018.75</v>
      </c>
      <c r="O70" s="3">
        <f t="shared" si="9"/>
        <v>62411.25</v>
      </c>
    </row>
    <row r="71" spans="1:15" x14ac:dyDescent="0.25">
      <c r="A71" s="15" t="s">
        <v>790</v>
      </c>
      <c r="B71" s="5" t="s">
        <v>2067</v>
      </c>
      <c r="C71" s="5">
        <v>200</v>
      </c>
      <c r="D71" s="5">
        <v>80.699999999999989</v>
      </c>
      <c r="E71" s="7">
        <f>VLOOKUP(C71,'Taux unitaires'!E:F,2,FALSE)</f>
        <v>1550</v>
      </c>
      <c r="F71" s="6">
        <f t="shared" si="10"/>
        <v>125084.99999999999</v>
      </c>
      <c r="G71" s="5">
        <f>VLOOKUP(B71,'Durée de vie utile'!$C$1:$E$6,3,FALSE)</f>
        <v>125</v>
      </c>
      <c r="H71" s="5">
        <f>VLOOKUP(B71,'Durée de vie utile'!$C$1:$E$6,2,FALSE)</f>
        <v>80</v>
      </c>
      <c r="I71" s="6">
        <f t="shared" si="11"/>
        <v>1563.5624999999998</v>
      </c>
      <c r="J71" s="6">
        <f>(F71/(1+'Autres hypothèses'!$D$5))*('Autres hypothèses'!$D$5/(((1+'Autres hypothèses'!$D$5)^'Conduite princ. - égout pluvial'!H71-1)))</f>
        <v>1017.8761052981242</v>
      </c>
      <c r="K71" s="5">
        <v>1972</v>
      </c>
      <c r="L71" s="5">
        <f t="shared" si="6"/>
        <v>50</v>
      </c>
      <c r="M71" s="1">
        <f t="shared" si="7"/>
        <v>0.625</v>
      </c>
      <c r="N71" s="3">
        <f t="shared" si="8"/>
        <v>78178.124999999985</v>
      </c>
      <c r="O71" s="3">
        <f t="shared" si="9"/>
        <v>46906.875</v>
      </c>
    </row>
    <row r="72" spans="1:15" x14ac:dyDescent="0.25">
      <c r="A72" s="15" t="s">
        <v>791</v>
      </c>
      <c r="B72" s="5" t="s">
        <v>2068</v>
      </c>
      <c r="C72" s="5">
        <v>450</v>
      </c>
      <c r="D72" s="5">
        <v>56.300000000000004</v>
      </c>
      <c r="E72" s="7">
        <f>VLOOKUP(C72,'Taux unitaires'!E:F,2,FALSE)</f>
        <v>1700</v>
      </c>
      <c r="F72" s="6">
        <f t="shared" si="10"/>
        <v>95710</v>
      </c>
      <c r="G72" s="5">
        <f>VLOOKUP(B72,'Durée de vie utile'!$C$1:$E$6,3,FALSE)</f>
        <v>125</v>
      </c>
      <c r="H72" s="5">
        <f>VLOOKUP(B72,'Durée de vie utile'!$C$1:$E$6,2,FALSE)</f>
        <v>90</v>
      </c>
      <c r="I72" s="6">
        <f t="shared" si="11"/>
        <v>1063.4444444444443</v>
      </c>
      <c r="J72" s="6">
        <f>(F72/(1+'Autres hypothèses'!$D$5))*('Autres hypothèses'!$D$5/(((1+'Autres hypothèses'!$D$5)^'Conduite princ. - égout pluvial'!H72-1)))</f>
        <v>654.15048200965282</v>
      </c>
      <c r="K72" s="5">
        <v>1968</v>
      </c>
      <c r="L72" s="5">
        <f t="shared" si="6"/>
        <v>54</v>
      </c>
      <c r="M72" s="1">
        <f t="shared" si="7"/>
        <v>0.6</v>
      </c>
      <c r="N72" s="3">
        <f t="shared" si="8"/>
        <v>57426</v>
      </c>
      <c r="O72" s="3">
        <f t="shared" si="9"/>
        <v>38284</v>
      </c>
    </row>
    <row r="73" spans="1:15" x14ac:dyDescent="0.25">
      <c r="A73" s="15" t="s">
        <v>792</v>
      </c>
      <c r="B73" s="5" t="s">
        <v>2069</v>
      </c>
      <c r="C73" s="5">
        <v>200</v>
      </c>
      <c r="D73" s="5">
        <v>94.199999999999989</v>
      </c>
      <c r="E73" s="7">
        <f>VLOOKUP(C73,'Taux unitaires'!E:F,2,FALSE)</f>
        <v>1550</v>
      </c>
      <c r="F73" s="6">
        <f t="shared" si="10"/>
        <v>146009.99999999997</v>
      </c>
      <c r="G73" s="5">
        <f>VLOOKUP(B73,'Durée de vie utile'!$C$1:$E$6,3,FALSE)</f>
        <v>100</v>
      </c>
      <c r="H73" s="5">
        <f>VLOOKUP(B73,'Durée de vie utile'!$C$1:$E$6,2,FALSE)</f>
        <v>80</v>
      </c>
      <c r="I73" s="6">
        <f t="shared" si="11"/>
        <v>1825.1249999999995</v>
      </c>
      <c r="J73" s="6">
        <f>(F73/(1+'Autres hypothèses'!$D$5))*('Autres hypothèses'!$D$5/(((1+'Autres hypothèses'!$D$5)^'Conduite princ. - égout pluvial'!H73-1)))</f>
        <v>1188.1527771881449</v>
      </c>
      <c r="K73" s="5">
        <v>1968</v>
      </c>
      <c r="L73" s="5">
        <f t="shared" si="6"/>
        <v>54</v>
      </c>
      <c r="M73" s="1">
        <f t="shared" si="7"/>
        <v>0.67500000000000004</v>
      </c>
      <c r="N73" s="3">
        <f t="shared" si="8"/>
        <v>98556.749999999985</v>
      </c>
      <c r="O73" s="3">
        <f t="shared" si="9"/>
        <v>47453.249999999985</v>
      </c>
    </row>
    <row r="74" spans="1:15" x14ac:dyDescent="0.25">
      <c r="A74" s="15" t="s">
        <v>793</v>
      </c>
      <c r="B74" s="5" t="s">
        <v>2070</v>
      </c>
      <c r="C74" s="5">
        <v>450</v>
      </c>
      <c r="D74" s="5">
        <v>92.1</v>
      </c>
      <c r="E74" s="7">
        <f>VLOOKUP(C74,'Taux unitaires'!E:F,2,FALSE)</f>
        <v>1700</v>
      </c>
      <c r="F74" s="6">
        <f t="shared" si="10"/>
        <v>156570</v>
      </c>
      <c r="G74" s="5">
        <f>VLOOKUP(B74,'Durée de vie utile'!$C$1:$E$6,3,FALSE)</f>
        <v>125</v>
      </c>
      <c r="H74" s="5">
        <f>VLOOKUP(B74,'Durée de vie utile'!$C$1:$E$6,2,FALSE)</f>
        <v>90</v>
      </c>
      <c r="I74" s="6">
        <f t="shared" si="11"/>
        <v>1739.6666666666667</v>
      </c>
      <c r="J74" s="6">
        <f>(F74/(1+'Autres hypothèses'!$D$5))*('Autres hypothèses'!$D$5/(((1+'Autres hypothèses'!$D$5)^'Conduite princ. - égout pluvial'!H74-1)))</f>
        <v>1070.1111792733398</v>
      </c>
      <c r="K74" s="5">
        <v>1968</v>
      </c>
      <c r="L74" s="5">
        <f t="shared" si="6"/>
        <v>54</v>
      </c>
      <c r="M74" s="1">
        <f t="shared" si="7"/>
        <v>0.6</v>
      </c>
      <c r="N74" s="3">
        <f t="shared" si="8"/>
        <v>93942</v>
      </c>
      <c r="O74" s="3">
        <f t="shared" si="9"/>
        <v>62628</v>
      </c>
    </row>
    <row r="75" spans="1:15" x14ac:dyDescent="0.25">
      <c r="A75" s="15" t="s">
        <v>794</v>
      </c>
      <c r="B75" s="5" t="s">
        <v>2071</v>
      </c>
      <c r="C75" s="5">
        <v>200</v>
      </c>
      <c r="D75" s="5">
        <v>41.800000000000004</v>
      </c>
      <c r="E75" s="7">
        <f>VLOOKUP(C75,'Taux unitaires'!E:F,2,FALSE)</f>
        <v>1550</v>
      </c>
      <c r="F75" s="6">
        <f t="shared" si="10"/>
        <v>64790.000000000007</v>
      </c>
      <c r="G75" s="5">
        <f>VLOOKUP(B75,'Durée de vie utile'!$C$1:$E$6,3,FALSE)</f>
        <v>125</v>
      </c>
      <c r="H75" s="5">
        <f>VLOOKUP(B75,'Durée de vie utile'!$C$1:$E$6,2,FALSE)</f>
        <v>90</v>
      </c>
      <c r="I75" s="6">
        <f t="shared" si="11"/>
        <v>719.88888888888891</v>
      </c>
      <c r="J75" s="6">
        <f>(F75/(1+'Autres hypothèses'!$D$5))*('Autres hypothèses'!$D$5/(((1+'Autres hypothèses'!$D$5)^'Conduite princ. - égout pluvial'!H75-1)))</f>
        <v>442.82112349185468</v>
      </c>
      <c r="K75" s="5">
        <v>1968</v>
      </c>
      <c r="L75" s="5">
        <f t="shared" si="6"/>
        <v>54</v>
      </c>
      <c r="M75" s="1">
        <f t="shared" si="7"/>
        <v>0.6</v>
      </c>
      <c r="N75" s="3">
        <f t="shared" si="8"/>
        <v>38874</v>
      </c>
      <c r="O75" s="3">
        <f t="shared" si="9"/>
        <v>25916.000000000007</v>
      </c>
    </row>
    <row r="76" spans="1:15" x14ac:dyDescent="0.25">
      <c r="A76" s="15" t="s">
        <v>795</v>
      </c>
      <c r="B76" s="5" t="s">
        <v>2072</v>
      </c>
      <c r="C76" s="5">
        <v>250</v>
      </c>
      <c r="D76" s="5">
        <v>79</v>
      </c>
      <c r="E76" s="7">
        <f>VLOOKUP(C76,'Taux unitaires'!E:F,2,FALSE)</f>
        <v>1600</v>
      </c>
      <c r="F76" s="6">
        <f t="shared" si="10"/>
        <v>126400</v>
      </c>
      <c r="G76" s="5">
        <f>VLOOKUP(B76,'Durée de vie utile'!$C$1:$E$6,3,FALSE)</f>
        <v>100</v>
      </c>
      <c r="H76" s="5">
        <f>VLOOKUP(B76,'Durée de vie utile'!$C$1:$E$6,2,FALSE)</f>
        <v>80</v>
      </c>
      <c r="I76" s="6">
        <f t="shared" si="11"/>
        <v>1580</v>
      </c>
      <c r="J76" s="6">
        <f>(F76/(1+'Autres hypothèses'!$D$5))*('Autres hypothèses'!$D$5/(((1+'Autres hypothèses'!$D$5)^'Conduite princ. - égout pluvial'!H76-1)))</f>
        <v>1028.5768853953944</v>
      </c>
      <c r="K76" s="5">
        <v>1969</v>
      </c>
      <c r="L76" s="5">
        <f t="shared" si="6"/>
        <v>53</v>
      </c>
      <c r="M76" s="1">
        <f t="shared" si="7"/>
        <v>0.66249999999999998</v>
      </c>
      <c r="N76" s="3">
        <f t="shared" si="8"/>
        <v>83740</v>
      </c>
      <c r="O76" s="3">
        <f t="shared" si="9"/>
        <v>42660</v>
      </c>
    </row>
    <row r="77" spans="1:15" x14ac:dyDescent="0.25">
      <c r="A77" s="15" t="s">
        <v>796</v>
      </c>
      <c r="B77" s="5" t="s">
        <v>2073</v>
      </c>
      <c r="C77" s="5">
        <v>200</v>
      </c>
      <c r="D77" s="5">
        <v>15.799999999999999</v>
      </c>
      <c r="E77" s="7">
        <f>VLOOKUP(C77,'Taux unitaires'!E:F,2,FALSE)</f>
        <v>1550</v>
      </c>
      <c r="F77" s="6">
        <f t="shared" si="10"/>
        <v>24490</v>
      </c>
      <c r="G77" s="5">
        <f>VLOOKUP(B77,'Durée de vie utile'!$C$1:$E$6,3,FALSE)</f>
        <v>100</v>
      </c>
      <c r="H77" s="5">
        <f>VLOOKUP(B77,'Durée de vie utile'!$C$1:$E$6,2,FALSE)</f>
        <v>80</v>
      </c>
      <c r="I77" s="6">
        <f t="shared" si="11"/>
        <v>306.125</v>
      </c>
      <c r="J77" s="6">
        <f>(F77/(1+'Autres hypothèses'!$D$5))*('Autres hypothèses'!$D$5/(((1+'Autres hypothèses'!$D$5)^'Conduite princ. - égout pluvial'!H77-1)))</f>
        <v>199.28677154535768</v>
      </c>
      <c r="K77" s="5">
        <v>1972</v>
      </c>
      <c r="L77" s="5">
        <f t="shared" si="6"/>
        <v>50</v>
      </c>
      <c r="M77" s="1">
        <f t="shared" si="7"/>
        <v>0.625</v>
      </c>
      <c r="N77" s="3">
        <f t="shared" si="8"/>
        <v>15306.25</v>
      </c>
      <c r="O77" s="3">
        <f t="shared" si="9"/>
        <v>9183.75</v>
      </c>
    </row>
    <row r="78" spans="1:15" x14ac:dyDescent="0.25">
      <c r="A78" s="15" t="s">
        <v>797</v>
      </c>
      <c r="B78" s="5" t="s">
        <v>2074</v>
      </c>
      <c r="C78" s="5">
        <v>450</v>
      </c>
      <c r="D78" s="5">
        <v>21.3</v>
      </c>
      <c r="E78" s="7">
        <f>VLOOKUP(C78,'Taux unitaires'!E:F,2,FALSE)</f>
        <v>1700</v>
      </c>
      <c r="F78" s="6">
        <f t="shared" si="10"/>
        <v>36210</v>
      </c>
      <c r="G78" s="5">
        <f>VLOOKUP(B78,'Durée de vie utile'!$C$1:$E$6,3,FALSE)</f>
        <v>100</v>
      </c>
      <c r="H78" s="5">
        <f>VLOOKUP(B78,'Durée de vie utile'!$C$1:$E$6,2,FALSE)</f>
        <v>80</v>
      </c>
      <c r="I78" s="6">
        <f t="shared" si="11"/>
        <v>452.625</v>
      </c>
      <c r="J78" s="6">
        <f>(F78/(1+'Autres hypothèses'!$D$5))*('Autres hypothèses'!$D$5/(((1+'Autres hypothèses'!$D$5)^'Conduite princ. - égout pluvial'!H78-1)))</f>
        <v>294.65798275448759</v>
      </c>
      <c r="K78" s="5">
        <v>1972</v>
      </c>
      <c r="L78" s="5">
        <f t="shared" si="6"/>
        <v>50</v>
      </c>
      <c r="M78" s="1">
        <f t="shared" si="7"/>
        <v>0.625</v>
      </c>
      <c r="N78" s="3">
        <f t="shared" si="8"/>
        <v>22631.25</v>
      </c>
      <c r="O78" s="3">
        <f t="shared" si="9"/>
        <v>13578.75</v>
      </c>
    </row>
    <row r="79" spans="1:15" x14ac:dyDescent="0.25">
      <c r="A79" s="15" t="s">
        <v>798</v>
      </c>
      <c r="B79" s="5" t="s">
        <v>2075</v>
      </c>
      <c r="C79" s="5">
        <v>200</v>
      </c>
      <c r="D79" s="5">
        <v>69.099999999999994</v>
      </c>
      <c r="E79" s="7">
        <f>VLOOKUP(C79,'Taux unitaires'!E:F,2,FALSE)</f>
        <v>1550</v>
      </c>
      <c r="F79" s="6">
        <f t="shared" si="10"/>
        <v>107104.99999999999</v>
      </c>
      <c r="G79" s="5">
        <f>VLOOKUP(B79,'Durée de vie utile'!$C$1:$E$6,3,FALSE)</f>
        <v>100</v>
      </c>
      <c r="H79" s="5">
        <f>VLOOKUP(B79,'Durée de vie utile'!$C$1:$E$6,2,FALSE)</f>
        <v>80</v>
      </c>
      <c r="I79" s="6">
        <f t="shared" si="11"/>
        <v>1338.8124999999998</v>
      </c>
      <c r="J79" s="6">
        <f>(F79/(1+'Autres hypothèses'!$D$5))*('Autres hypothèses'!$D$5/(((1+'Autres hypothèses'!$D$5)^'Conduite princ. - égout pluvial'!H79-1)))</f>
        <v>871.56429834077289</v>
      </c>
      <c r="K79" s="5">
        <v>1972</v>
      </c>
      <c r="L79" s="5">
        <f t="shared" si="6"/>
        <v>50</v>
      </c>
      <c r="M79" s="1">
        <f t="shared" si="7"/>
        <v>0.625</v>
      </c>
      <c r="N79" s="3">
        <f t="shared" si="8"/>
        <v>66940.624999999985</v>
      </c>
      <c r="O79" s="3">
        <f t="shared" si="9"/>
        <v>40164.375</v>
      </c>
    </row>
    <row r="80" spans="1:15" x14ac:dyDescent="0.25">
      <c r="A80" s="15" t="s">
        <v>799</v>
      </c>
      <c r="B80" s="5" t="s">
        <v>2076</v>
      </c>
      <c r="C80" s="5">
        <v>200</v>
      </c>
      <c r="D80" s="5">
        <v>42.5</v>
      </c>
      <c r="E80" s="7">
        <f>VLOOKUP(C80,'Taux unitaires'!E:F,2,FALSE)</f>
        <v>1550</v>
      </c>
      <c r="F80" s="6">
        <f t="shared" si="10"/>
        <v>65875</v>
      </c>
      <c r="G80" s="5">
        <f>VLOOKUP(B80,'Durée de vie utile'!$C$1:$E$6,3,FALSE)</f>
        <v>100</v>
      </c>
      <c r="H80" s="5">
        <f>VLOOKUP(B80,'Durée de vie utile'!$C$1:$E$6,2,FALSE)</f>
        <v>70</v>
      </c>
      <c r="I80" s="6">
        <f t="shared" si="11"/>
        <v>941.07142857142856</v>
      </c>
      <c r="J80" s="6">
        <f>(F80/(1+'Autres hypothèses'!$D$5))*('Autres hypothèses'!$D$5/(((1+'Autres hypothèses'!$D$5)^'Conduite princ. - égout pluvial'!H80-1)))</f>
        <v>647.84610092818571</v>
      </c>
      <c r="K80" s="5">
        <v>1972</v>
      </c>
      <c r="L80" s="5">
        <f t="shared" si="6"/>
        <v>50</v>
      </c>
      <c r="M80" s="1">
        <f t="shared" si="7"/>
        <v>0.7142857142857143</v>
      </c>
      <c r="N80" s="3">
        <f t="shared" si="8"/>
        <v>47053.571428571428</v>
      </c>
      <c r="O80" s="3">
        <f t="shared" si="9"/>
        <v>18821.428571428572</v>
      </c>
    </row>
    <row r="81" spans="1:15" x14ac:dyDescent="0.25">
      <c r="A81" s="15" t="s">
        <v>800</v>
      </c>
      <c r="B81" s="5" t="s">
        <v>2077</v>
      </c>
      <c r="C81" s="5">
        <v>450</v>
      </c>
      <c r="D81" s="5">
        <v>32.700000000000003</v>
      </c>
      <c r="E81" s="7">
        <f>VLOOKUP(C81,'Taux unitaires'!E:F,2,FALSE)</f>
        <v>1700</v>
      </c>
      <c r="F81" s="6">
        <f t="shared" si="10"/>
        <v>55590.000000000007</v>
      </c>
      <c r="G81" s="5">
        <f>VLOOKUP(B81,'Durée de vie utile'!$C$1:$E$6,3,FALSE)</f>
        <v>125</v>
      </c>
      <c r="H81" s="5">
        <f>VLOOKUP(B81,'Durée de vie utile'!$C$1:$E$6,2,FALSE)</f>
        <v>90</v>
      </c>
      <c r="I81" s="6">
        <f t="shared" si="11"/>
        <v>617.66666666666674</v>
      </c>
      <c r="J81" s="6">
        <f>(F81/(1+'Autres hypothèses'!$D$5))*('Autres hypothèses'!$D$5/(((1+'Autres hypothèses'!$D$5)^'Conduite princ. - égout pluvial'!H81-1)))</f>
        <v>379.94175420454087</v>
      </c>
      <c r="K81" s="5">
        <v>1973</v>
      </c>
      <c r="L81" s="5">
        <f t="shared" si="6"/>
        <v>49</v>
      </c>
      <c r="M81" s="1">
        <f t="shared" si="7"/>
        <v>0.5444444444444444</v>
      </c>
      <c r="N81" s="3">
        <f t="shared" si="8"/>
        <v>30265.666666666668</v>
      </c>
      <c r="O81" s="3">
        <f t="shared" si="9"/>
        <v>25324.333333333339</v>
      </c>
    </row>
    <row r="82" spans="1:15" x14ac:dyDescent="0.25">
      <c r="A82" s="15" t="s">
        <v>801</v>
      </c>
      <c r="B82" s="5" t="s">
        <v>2078</v>
      </c>
      <c r="C82" s="5">
        <v>250</v>
      </c>
      <c r="D82" s="5">
        <v>41</v>
      </c>
      <c r="E82" s="7">
        <f>VLOOKUP(C82,'Taux unitaires'!E:F,2,FALSE)</f>
        <v>1600</v>
      </c>
      <c r="F82" s="6">
        <f t="shared" si="10"/>
        <v>65600</v>
      </c>
      <c r="G82" s="5">
        <f>VLOOKUP(B82,'Durée de vie utile'!$C$1:$E$6,3,FALSE)</f>
        <v>125</v>
      </c>
      <c r="H82" s="5">
        <f>VLOOKUP(B82,'Durée de vie utile'!$C$1:$E$6,2,FALSE)</f>
        <v>80</v>
      </c>
      <c r="I82" s="6">
        <f t="shared" si="11"/>
        <v>820</v>
      </c>
      <c r="J82" s="6">
        <f>(F82/(1+'Autres hypothèses'!$D$5))*('Autres hypothèses'!$D$5/(((1+'Autres hypothèses'!$D$5)^'Conduite princ. - égout pluvial'!H82-1)))</f>
        <v>533.81838355963509</v>
      </c>
      <c r="K82" s="5">
        <v>1973</v>
      </c>
      <c r="L82" s="5">
        <f t="shared" si="6"/>
        <v>49</v>
      </c>
      <c r="M82" s="1">
        <f t="shared" si="7"/>
        <v>0.61250000000000004</v>
      </c>
      <c r="N82" s="3">
        <f t="shared" si="8"/>
        <v>40180</v>
      </c>
      <c r="O82" s="3">
        <f t="shared" si="9"/>
        <v>25420</v>
      </c>
    </row>
    <row r="83" spans="1:15" x14ac:dyDescent="0.25">
      <c r="A83" s="15" t="s">
        <v>802</v>
      </c>
      <c r="B83" s="5" t="s">
        <v>2079</v>
      </c>
      <c r="C83" s="5">
        <v>250</v>
      </c>
      <c r="D83" s="5">
        <v>74.199999999999989</v>
      </c>
      <c r="E83" s="7">
        <f>VLOOKUP(C83,'Taux unitaires'!E:F,2,FALSE)</f>
        <v>1600</v>
      </c>
      <c r="F83" s="6">
        <f t="shared" si="10"/>
        <v>118719.99999999999</v>
      </c>
      <c r="G83" s="5">
        <f>VLOOKUP(B83,'Durée de vie utile'!$C$1:$E$6,3,FALSE)</f>
        <v>100</v>
      </c>
      <c r="H83" s="5">
        <f>VLOOKUP(B83,'Durée de vie utile'!$C$1:$E$6,2,FALSE)</f>
        <v>80</v>
      </c>
      <c r="I83" s="6">
        <f t="shared" si="11"/>
        <v>1483.9999999999998</v>
      </c>
      <c r="J83" s="6">
        <f>(F83/(1+'Autres hypothèses'!$D$5))*('Autres hypothèses'!$D$5/(((1+'Autres hypothèses'!$D$5)^'Conduite princ. - égout pluvial'!H83-1)))</f>
        <v>966.08107463719307</v>
      </c>
      <c r="K83" s="5">
        <v>1973</v>
      </c>
      <c r="L83" s="5">
        <f t="shared" si="6"/>
        <v>49</v>
      </c>
      <c r="M83" s="1">
        <f t="shared" si="7"/>
        <v>0.61250000000000004</v>
      </c>
      <c r="N83" s="3">
        <f t="shared" si="8"/>
        <v>72716</v>
      </c>
      <c r="O83" s="3">
        <f t="shared" si="9"/>
        <v>46003.999999999985</v>
      </c>
    </row>
    <row r="84" spans="1:15" x14ac:dyDescent="0.25">
      <c r="A84" s="15" t="s">
        <v>803</v>
      </c>
      <c r="B84" s="5" t="s">
        <v>2080</v>
      </c>
      <c r="C84" s="5">
        <v>250</v>
      </c>
      <c r="D84" s="5">
        <v>73.599999999999994</v>
      </c>
      <c r="E84" s="7">
        <f>VLOOKUP(C84,'Taux unitaires'!E:F,2,FALSE)</f>
        <v>1600</v>
      </c>
      <c r="F84" s="6">
        <f t="shared" si="10"/>
        <v>117759.99999999999</v>
      </c>
      <c r="G84" s="5">
        <f>VLOOKUP(B84,'Durée de vie utile'!$C$1:$E$6,3,FALSE)</f>
        <v>100</v>
      </c>
      <c r="H84" s="5">
        <f>VLOOKUP(B84,'Durée de vie utile'!$C$1:$E$6,2,FALSE)</f>
        <v>80</v>
      </c>
      <c r="I84" s="6">
        <f t="shared" si="11"/>
        <v>1471.9999999999998</v>
      </c>
      <c r="J84" s="6">
        <f>(F84/(1+'Autres hypothèses'!$D$5))*('Autres hypothèses'!$D$5/(((1+'Autres hypothèses'!$D$5)^'Conduite princ. - égout pluvial'!H84-1)))</f>
        <v>958.26909829241799</v>
      </c>
      <c r="K84" s="5">
        <v>1973</v>
      </c>
      <c r="L84" s="5">
        <f t="shared" si="6"/>
        <v>49</v>
      </c>
      <c r="M84" s="1">
        <f t="shared" si="7"/>
        <v>0.61250000000000004</v>
      </c>
      <c r="N84" s="3">
        <f t="shared" si="8"/>
        <v>72128</v>
      </c>
      <c r="O84" s="3">
        <f t="shared" si="9"/>
        <v>45631.999999999985</v>
      </c>
    </row>
    <row r="85" spans="1:15" x14ac:dyDescent="0.25">
      <c r="A85" s="15" t="s">
        <v>804</v>
      </c>
      <c r="B85" s="5" t="s">
        <v>2081</v>
      </c>
      <c r="C85" s="5">
        <v>200</v>
      </c>
      <c r="D85" s="5">
        <v>71.599999999999994</v>
      </c>
      <c r="E85" s="7">
        <f>VLOOKUP(C85,'Taux unitaires'!E:F,2,FALSE)</f>
        <v>1550</v>
      </c>
      <c r="F85" s="6">
        <f t="shared" si="10"/>
        <v>110979.99999999999</v>
      </c>
      <c r="G85" s="5">
        <f>VLOOKUP(B85,'Durée de vie utile'!$C$1:$E$6,3,FALSE)</f>
        <v>125</v>
      </c>
      <c r="H85" s="5">
        <f>VLOOKUP(B85,'Durée de vie utile'!$C$1:$E$6,2,FALSE)</f>
        <v>90</v>
      </c>
      <c r="I85" s="6">
        <f t="shared" si="11"/>
        <v>1233.1111111111109</v>
      </c>
      <c r="J85" s="6">
        <f>(F85/(1+'Autres hypothèses'!$D$5))*('Autres hypothèses'!$D$5/(((1+'Autres hypothèses'!$D$5)^'Conduite princ. - égout pluvial'!H85-1)))</f>
        <v>758.51656559848777</v>
      </c>
      <c r="K85" s="5">
        <v>1981</v>
      </c>
      <c r="L85" s="5">
        <f t="shared" si="6"/>
        <v>41</v>
      </c>
      <c r="M85" s="1">
        <f t="shared" si="7"/>
        <v>0.45555555555555555</v>
      </c>
      <c r="N85" s="3">
        <f t="shared" si="8"/>
        <v>50557.555555555547</v>
      </c>
      <c r="O85" s="3">
        <f t="shared" si="9"/>
        <v>60422.444444444438</v>
      </c>
    </row>
    <row r="86" spans="1:15" x14ac:dyDescent="0.25">
      <c r="A86" s="15" t="s">
        <v>805</v>
      </c>
      <c r="B86" s="5" t="s">
        <v>2082</v>
      </c>
      <c r="C86" s="5">
        <v>200</v>
      </c>
      <c r="D86" s="5">
        <v>6</v>
      </c>
      <c r="E86" s="7">
        <f>VLOOKUP(C86,'Taux unitaires'!E:F,2,FALSE)</f>
        <v>1550</v>
      </c>
      <c r="F86" s="6">
        <f t="shared" si="10"/>
        <v>9300</v>
      </c>
      <c r="G86" s="5">
        <f>VLOOKUP(B86,'Durée de vie utile'!$C$1:$E$6,3,FALSE)</f>
        <v>125</v>
      </c>
      <c r="H86" s="5">
        <f>VLOOKUP(B86,'Durée de vie utile'!$C$1:$E$6,2,FALSE)</f>
        <v>80</v>
      </c>
      <c r="I86" s="6">
        <f t="shared" si="11"/>
        <v>116.25</v>
      </c>
      <c r="J86" s="6">
        <f>(F86/(1+'Autres hypothèses'!$D$5))*('Autres hypothèses'!$D$5/(((1+'Autres hypothèses'!$D$5)^'Conduite princ. - égout pluvial'!H86-1)))</f>
        <v>75.678520840009242</v>
      </c>
      <c r="K86" s="5">
        <v>1973</v>
      </c>
      <c r="L86" s="5">
        <f t="shared" si="6"/>
        <v>49</v>
      </c>
      <c r="M86" s="1">
        <f t="shared" si="7"/>
        <v>0.61250000000000004</v>
      </c>
      <c r="N86" s="3">
        <f t="shared" si="8"/>
        <v>5696.25</v>
      </c>
      <c r="O86" s="3">
        <f t="shared" si="9"/>
        <v>3603.75</v>
      </c>
    </row>
    <row r="87" spans="1:15" x14ac:dyDescent="0.25">
      <c r="A87" s="15" t="s">
        <v>806</v>
      </c>
      <c r="B87" s="5" t="s">
        <v>2083</v>
      </c>
      <c r="C87" s="5">
        <v>200</v>
      </c>
      <c r="D87" s="5">
        <v>9.6999999999999993</v>
      </c>
      <c r="E87" s="7">
        <f>VLOOKUP(C87,'Taux unitaires'!E:F,2,FALSE)</f>
        <v>1550</v>
      </c>
      <c r="F87" s="6">
        <f t="shared" si="10"/>
        <v>15034.999999999998</v>
      </c>
      <c r="G87" s="5">
        <f>VLOOKUP(B87,'Durée de vie utile'!$C$1:$E$6,3,FALSE)</f>
        <v>125</v>
      </c>
      <c r="H87" s="5">
        <f>VLOOKUP(B87,'Durée de vie utile'!$C$1:$E$6,2,FALSE)</f>
        <v>80</v>
      </c>
      <c r="I87" s="6">
        <f t="shared" si="11"/>
        <v>187.93749999999997</v>
      </c>
      <c r="J87" s="6">
        <f>(F87/(1+'Autres hypothèses'!$D$5))*('Autres hypothèses'!$D$5/(((1+'Autres hypothèses'!$D$5)^'Conduite princ. - égout pluvial'!H87-1)))</f>
        <v>122.34694202468158</v>
      </c>
      <c r="K87" s="5">
        <v>1973</v>
      </c>
      <c r="L87" s="5">
        <f t="shared" si="6"/>
        <v>49</v>
      </c>
      <c r="M87" s="1">
        <f t="shared" si="7"/>
        <v>0.61250000000000004</v>
      </c>
      <c r="N87" s="3">
        <f t="shared" si="8"/>
        <v>9208.9375</v>
      </c>
      <c r="O87" s="3">
        <f t="shared" si="9"/>
        <v>5826.0624999999982</v>
      </c>
    </row>
    <row r="88" spans="1:15" x14ac:dyDescent="0.25">
      <c r="A88" s="15" t="s">
        <v>807</v>
      </c>
      <c r="B88" s="5" t="s">
        <v>2084</v>
      </c>
      <c r="C88" s="5">
        <v>250</v>
      </c>
      <c r="D88" s="5">
        <v>61.800000000000004</v>
      </c>
      <c r="E88" s="7">
        <f>VLOOKUP(C88,'Taux unitaires'!E:F,2,FALSE)</f>
        <v>1600</v>
      </c>
      <c r="F88" s="6">
        <f t="shared" si="10"/>
        <v>98880</v>
      </c>
      <c r="G88" s="5">
        <f>VLOOKUP(B88,'Durée de vie utile'!$C$1:$E$6,3,FALSE)</f>
        <v>100</v>
      </c>
      <c r="H88" s="5">
        <f>VLOOKUP(B88,'Durée de vie utile'!$C$1:$E$6,2,FALSE)</f>
        <v>80</v>
      </c>
      <c r="I88" s="6">
        <f t="shared" si="11"/>
        <v>1236</v>
      </c>
      <c r="J88" s="6">
        <f>(F88/(1+'Autres hypothèses'!$D$5))*('Autres hypothèses'!$D$5/(((1+'Autres hypothèses'!$D$5)^'Conduite princ. - égout pluvial'!H88-1)))</f>
        <v>804.63356351184018</v>
      </c>
      <c r="K88" s="5">
        <v>1974</v>
      </c>
      <c r="L88" s="5">
        <f t="shared" si="6"/>
        <v>48</v>
      </c>
      <c r="M88" s="1">
        <f t="shared" si="7"/>
        <v>0.6</v>
      </c>
      <c r="N88" s="3">
        <f t="shared" si="8"/>
        <v>59328</v>
      </c>
      <c r="O88" s="3">
        <f t="shared" si="9"/>
        <v>39552</v>
      </c>
    </row>
    <row r="89" spans="1:15" x14ac:dyDescent="0.25">
      <c r="A89" s="15" t="s">
        <v>808</v>
      </c>
      <c r="B89" s="5" t="s">
        <v>2085</v>
      </c>
      <c r="C89" s="5">
        <v>200</v>
      </c>
      <c r="D89" s="5">
        <v>33.200000000000003</v>
      </c>
      <c r="E89" s="7">
        <f>VLOOKUP(C89,'Taux unitaires'!E:F,2,FALSE)</f>
        <v>1550</v>
      </c>
      <c r="F89" s="6">
        <f t="shared" si="10"/>
        <v>51460.000000000007</v>
      </c>
      <c r="G89" s="5">
        <f>VLOOKUP(B89,'Durée de vie utile'!$C$1:$E$6,3,FALSE)</f>
        <v>100</v>
      </c>
      <c r="H89" s="5">
        <f>VLOOKUP(B89,'Durée de vie utile'!$C$1:$E$6,2,FALSE)</f>
        <v>80</v>
      </c>
      <c r="I89" s="6">
        <f t="shared" si="11"/>
        <v>643.25000000000011</v>
      </c>
      <c r="J89" s="6">
        <f>(F89/(1+'Autres hypothèses'!$D$5))*('Autres hypothèses'!$D$5/(((1+'Autres hypothèses'!$D$5)^'Conduite princ. - égout pluvial'!H89-1)))</f>
        <v>418.75448198138452</v>
      </c>
      <c r="K89" s="5">
        <v>1975</v>
      </c>
      <c r="L89" s="5">
        <f t="shared" si="6"/>
        <v>47</v>
      </c>
      <c r="M89" s="1">
        <f t="shared" si="7"/>
        <v>0.58750000000000002</v>
      </c>
      <c r="N89" s="3">
        <f t="shared" si="8"/>
        <v>30232.750000000004</v>
      </c>
      <c r="O89" s="3">
        <f t="shared" si="9"/>
        <v>21227.250000000004</v>
      </c>
    </row>
    <row r="90" spans="1:15" x14ac:dyDescent="0.25">
      <c r="A90" s="15" t="s">
        <v>809</v>
      </c>
      <c r="B90" s="5" t="s">
        <v>2086</v>
      </c>
      <c r="C90" s="5">
        <v>450</v>
      </c>
      <c r="D90" s="5">
        <v>81.8</v>
      </c>
      <c r="E90" s="7">
        <f>VLOOKUP(C90,'Taux unitaires'!E:F,2,FALSE)</f>
        <v>1700</v>
      </c>
      <c r="F90" s="6">
        <f t="shared" si="10"/>
        <v>139060</v>
      </c>
      <c r="G90" s="5">
        <f>VLOOKUP(B90,'Durée de vie utile'!$C$1:$E$6,3,FALSE)</f>
        <v>125</v>
      </c>
      <c r="H90" s="5">
        <f>VLOOKUP(B90,'Durée de vie utile'!$C$1:$E$6,2,FALSE)</f>
        <v>90</v>
      </c>
      <c r="I90" s="6">
        <f t="shared" si="11"/>
        <v>1545.1111111111111</v>
      </c>
      <c r="J90" s="6">
        <f>(F90/(1+'Autres hypothèses'!$D$5))*('Autres hypothèses'!$D$5/(((1+'Autres hypothèses'!$D$5)^'Conduite princ. - égout pluvial'!H90-1)))</f>
        <v>950.43533620585447</v>
      </c>
      <c r="K90" s="5">
        <v>1976</v>
      </c>
      <c r="L90" s="5">
        <f t="shared" si="6"/>
        <v>46</v>
      </c>
      <c r="M90" s="1">
        <f t="shared" si="7"/>
        <v>0.51111111111111107</v>
      </c>
      <c r="N90" s="3">
        <f t="shared" si="8"/>
        <v>71075.111111111109</v>
      </c>
      <c r="O90" s="3">
        <f t="shared" si="9"/>
        <v>67984.888888888891</v>
      </c>
    </row>
    <row r="91" spans="1:15" x14ac:dyDescent="0.25">
      <c r="A91" s="15" t="s">
        <v>810</v>
      </c>
      <c r="B91" s="5" t="s">
        <v>2087</v>
      </c>
      <c r="C91" s="5">
        <v>250</v>
      </c>
      <c r="D91" s="5">
        <v>41.1</v>
      </c>
      <c r="E91" s="7">
        <f>VLOOKUP(C91,'Taux unitaires'!E:F,2,FALSE)</f>
        <v>1600</v>
      </c>
      <c r="F91" s="6">
        <f t="shared" si="10"/>
        <v>65760</v>
      </c>
      <c r="G91" s="5">
        <f>VLOOKUP(B91,'Durée de vie utile'!$C$1:$E$6,3,FALSE)</f>
        <v>100</v>
      </c>
      <c r="H91" s="5">
        <f>VLOOKUP(B91,'Durée de vie utile'!$C$1:$E$6,2,FALSE)</f>
        <v>80</v>
      </c>
      <c r="I91" s="6">
        <f t="shared" si="11"/>
        <v>822</v>
      </c>
      <c r="J91" s="6">
        <f>(F91/(1+'Autres hypothèses'!$D$5))*('Autres hypothèses'!$D$5/(((1+'Autres hypothèses'!$D$5)^'Conduite princ. - égout pluvial'!H91-1)))</f>
        <v>535.12037961709757</v>
      </c>
      <c r="K91" s="5">
        <v>1981</v>
      </c>
      <c r="L91" s="5">
        <f t="shared" si="6"/>
        <v>41</v>
      </c>
      <c r="M91" s="1">
        <f t="shared" si="7"/>
        <v>0.51249999999999996</v>
      </c>
      <c r="N91" s="3">
        <f t="shared" si="8"/>
        <v>33702</v>
      </c>
      <c r="O91" s="3">
        <f t="shared" si="9"/>
        <v>32058</v>
      </c>
    </row>
    <row r="92" spans="1:15" x14ac:dyDescent="0.25">
      <c r="A92" s="15" t="s">
        <v>811</v>
      </c>
      <c r="B92" s="5" t="s">
        <v>2088</v>
      </c>
      <c r="C92" s="5">
        <v>250</v>
      </c>
      <c r="D92" s="5">
        <v>54.300000000000004</v>
      </c>
      <c r="E92" s="7">
        <f>VLOOKUP(C92,'Taux unitaires'!E:F,2,FALSE)</f>
        <v>1600</v>
      </c>
      <c r="F92" s="6">
        <f t="shared" si="10"/>
        <v>86880</v>
      </c>
      <c r="G92" s="5">
        <f>VLOOKUP(B92,'Durée de vie utile'!$C$1:$E$6,3,FALSE)</f>
        <v>125</v>
      </c>
      <c r="H92" s="5">
        <f>VLOOKUP(B92,'Durée de vie utile'!$C$1:$E$6,2,FALSE)</f>
        <v>80</v>
      </c>
      <c r="I92" s="6">
        <f t="shared" si="11"/>
        <v>1086</v>
      </c>
      <c r="J92" s="6">
        <f>(F92/(1+'Autres hypothèses'!$D$5))*('Autres hypothèses'!$D$5/(((1+'Autres hypothèses'!$D$5)^'Conduite princ. - égout pluvial'!H92-1)))</f>
        <v>706.98385920215094</v>
      </c>
      <c r="K92" s="5">
        <v>1976</v>
      </c>
      <c r="L92" s="5">
        <f t="shared" si="6"/>
        <v>46</v>
      </c>
      <c r="M92" s="1">
        <f t="shared" si="7"/>
        <v>0.57499999999999996</v>
      </c>
      <c r="N92" s="3">
        <f t="shared" si="8"/>
        <v>49955.999999999993</v>
      </c>
      <c r="O92" s="3">
        <f t="shared" si="9"/>
        <v>36924.000000000007</v>
      </c>
    </row>
    <row r="93" spans="1:15" x14ac:dyDescent="0.25">
      <c r="A93" s="15" t="s">
        <v>812</v>
      </c>
      <c r="B93" s="5" t="s">
        <v>2089</v>
      </c>
      <c r="C93" s="5">
        <v>450</v>
      </c>
      <c r="D93" s="5">
        <v>37.9</v>
      </c>
      <c r="E93" s="7">
        <f>VLOOKUP(C93,'Taux unitaires'!E:F,2,FALSE)</f>
        <v>1700</v>
      </c>
      <c r="F93" s="6">
        <f t="shared" si="10"/>
        <v>64430</v>
      </c>
      <c r="G93" s="5">
        <f>VLOOKUP(B93,'Durée de vie utile'!$C$1:$E$6,3,FALSE)</f>
        <v>125</v>
      </c>
      <c r="H93" s="5">
        <f>VLOOKUP(B93,'Durée de vie utile'!$C$1:$E$6,2,FALSE)</f>
        <v>90</v>
      </c>
      <c r="I93" s="6">
        <f t="shared" si="11"/>
        <v>715.88888888888891</v>
      </c>
      <c r="J93" s="6">
        <f>(F93/(1+'Autres hypothèses'!$D$5))*('Autres hypothèses'!$D$5/(((1+'Autres hypothèses'!$D$5)^'Conduite princ. - égout pluvial'!H93-1)))</f>
        <v>440.36062643278581</v>
      </c>
      <c r="K93" s="5">
        <v>1981</v>
      </c>
      <c r="L93" s="5">
        <f t="shared" si="6"/>
        <v>41</v>
      </c>
      <c r="M93" s="1">
        <f t="shared" si="7"/>
        <v>0.45555555555555555</v>
      </c>
      <c r="N93" s="3">
        <f t="shared" si="8"/>
        <v>29351.444444444445</v>
      </c>
      <c r="O93" s="3">
        <f t="shared" si="9"/>
        <v>35078.555555555555</v>
      </c>
    </row>
    <row r="94" spans="1:15" x14ac:dyDescent="0.25">
      <c r="A94" s="15" t="s">
        <v>813</v>
      </c>
      <c r="B94" s="5" t="s">
        <v>2090</v>
      </c>
      <c r="C94" s="5">
        <v>450</v>
      </c>
      <c r="D94" s="5">
        <v>95</v>
      </c>
      <c r="E94" s="7">
        <f>VLOOKUP(C94,'Taux unitaires'!E:F,2,FALSE)</f>
        <v>1700</v>
      </c>
      <c r="F94" s="6">
        <f t="shared" si="10"/>
        <v>161500</v>
      </c>
      <c r="G94" s="5">
        <f>VLOOKUP(B94,'Durée de vie utile'!$C$1:$E$6,3,FALSE)</f>
        <v>125</v>
      </c>
      <c r="H94" s="5">
        <f>VLOOKUP(B94,'Durée de vie utile'!$C$1:$E$6,2,FALSE)</f>
        <v>80</v>
      </c>
      <c r="I94" s="6">
        <f t="shared" si="11"/>
        <v>2018.75</v>
      </c>
      <c r="J94" s="6">
        <f>(F94/(1+'Autres hypothèses'!$D$5))*('Autres hypothèses'!$D$5/(((1+'Autres hypothèses'!$D$5)^'Conduite princ. - égout pluvial'!H94-1)))</f>
        <v>1314.2022705012357</v>
      </c>
      <c r="K94" s="5">
        <v>1976</v>
      </c>
      <c r="L94" s="5">
        <f t="shared" si="6"/>
        <v>46</v>
      </c>
      <c r="M94" s="1">
        <f t="shared" si="7"/>
        <v>0.57499999999999996</v>
      </c>
      <c r="N94" s="3">
        <f t="shared" si="8"/>
        <v>92862.5</v>
      </c>
      <c r="O94" s="3">
        <f t="shared" si="9"/>
        <v>68637.5</v>
      </c>
    </row>
    <row r="95" spans="1:15" x14ac:dyDescent="0.25">
      <c r="A95" s="15" t="s">
        <v>814</v>
      </c>
      <c r="B95" s="5" t="s">
        <v>2091</v>
      </c>
      <c r="C95" s="5">
        <v>450</v>
      </c>
      <c r="D95" s="5">
        <v>55.5</v>
      </c>
      <c r="E95" s="7">
        <f>VLOOKUP(C95,'Taux unitaires'!E:F,2,FALSE)</f>
        <v>1700</v>
      </c>
      <c r="F95" s="6">
        <f t="shared" si="10"/>
        <v>94350</v>
      </c>
      <c r="G95" s="5">
        <f>VLOOKUP(B95,'Durée de vie utile'!$C$1:$E$6,3,FALSE)</f>
        <v>125</v>
      </c>
      <c r="H95" s="5">
        <f>VLOOKUP(B95,'Durée de vie utile'!$C$1:$E$6,2,FALSE)</f>
        <v>90</v>
      </c>
      <c r="I95" s="6">
        <f t="shared" si="11"/>
        <v>1048.3333333333333</v>
      </c>
      <c r="J95" s="6">
        <f>(F95/(1+'Autres hypothèses'!$D$5))*('Autres hypothèses'!$D$5/(((1+'Autres hypothèses'!$D$5)^'Conduite princ. - égout pluvial'!H95-1)))</f>
        <v>644.85527089761513</v>
      </c>
      <c r="K95" s="5">
        <v>1976</v>
      </c>
      <c r="L95" s="5">
        <f t="shared" si="6"/>
        <v>46</v>
      </c>
      <c r="M95" s="1">
        <f t="shared" si="7"/>
        <v>0.51111111111111107</v>
      </c>
      <c r="N95" s="3">
        <f t="shared" si="8"/>
        <v>48223.333333333328</v>
      </c>
      <c r="O95" s="3">
        <f t="shared" si="9"/>
        <v>46126.666666666672</v>
      </c>
    </row>
    <row r="96" spans="1:15" x14ac:dyDescent="0.25">
      <c r="A96" s="15" t="s">
        <v>815</v>
      </c>
      <c r="B96" s="5" t="s">
        <v>2092</v>
      </c>
      <c r="C96" s="5">
        <v>450</v>
      </c>
      <c r="D96" s="5">
        <v>20.900000000000002</v>
      </c>
      <c r="E96" s="7">
        <f>VLOOKUP(C96,'Taux unitaires'!E:F,2,FALSE)</f>
        <v>1700</v>
      </c>
      <c r="F96" s="6">
        <f t="shared" si="10"/>
        <v>35530</v>
      </c>
      <c r="G96" s="5">
        <f>VLOOKUP(B96,'Durée de vie utile'!$C$1:$E$6,3,FALSE)</f>
        <v>100</v>
      </c>
      <c r="H96" s="5">
        <f>VLOOKUP(B96,'Durée de vie utile'!$C$1:$E$6,2,FALSE)</f>
        <v>80</v>
      </c>
      <c r="I96" s="6">
        <f t="shared" si="11"/>
        <v>444.125</v>
      </c>
      <c r="J96" s="6">
        <f>(F96/(1+'Autres hypothèses'!$D$5))*('Autres hypothèses'!$D$5/(((1+'Autres hypothèses'!$D$5)^'Conduite princ. - égout pluvial'!H96-1)))</f>
        <v>289.12449951027185</v>
      </c>
      <c r="K96" s="5">
        <v>1976</v>
      </c>
      <c r="L96" s="5">
        <f t="shared" si="6"/>
        <v>46</v>
      </c>
      <c r="M96" s="1">
        <f t="shared" si="7"/>
        <v>0.57499999999999996</v>
      </c>
      <c r="N96" s="3">
        <f t="shared" si="8"/>
        <v>20429.75</v>
      </c>
      <c r="O96" s="3">
        <f t="shared" si="9"/>
        <v>15100.25</v>
      </c>
    </row>
    <row r="97" spans="1:15" x14ac:dyDescent="0.25">
      <c r="A97" s="15" t="s">
        <v>816</v>
      </c>
      <c r="B97" s="5" t="s">
        <v>2093</v>
      </c>
      <c r="C97" s="5">
        <v>450</v>
      </c>
      <c r="D97" s="5">
        <v>69.699999999999989</v>
      </c>
      <c r="E97" s="7">
        <f>VLOOKUP(C97,'Taux unitaires'!E:F,2,FALSE)</f>
        <v>1700</v>
      </c>
      <c r="F97" s="6">
        <f t="shared" si="10"/>
        <v>118489.99999999999</v>
      </c>
      <c r="G97" s="5">
        <f>VLOOKUP(B97,'Durée de vie utile'!$C$1:$E$6,3,FALSE)</f>
        <v>125</v>
      </c>
      <c r="H97" s="5">
        <f>VLOOKUP(B97,'Durée de vie utile'!$C$1:$E$6,2,FALSE)</f>
        <v>80</v>
      </c>
      <c r="I97" s="6">
        <f t="shared" si="11"/>
        <v>1481.1249999999998</v>
      </c>
      <c r="J97" s="6">
        <f>(F97/(1+'Autres hypothèses'!$D$5))*('Autres hypothèses'!$D$5/(((1+'Autres hypothèses'!$D$5)^'Conduite princ. - égout pluvial'!H97-1)))</f>
        <v>964.20945530459073</v>
      </c>
      <c r="K97" s="5">
        <v>1976</v>
      </c>
      <c r="L97" s="5">
        <f t="shared" si="6"/>
        <v>46</v>
      </c>
      <c r="M97" s="1">
        <f t="shared" si="7"/>
        <v>0.57499999999999996</v>
      </c>
      <c r="N97" s="3">
        <f t="shared" si="8"/>
        <v>68131.749999999985</v>
      </c>
      <c r="O97" s="3">
        <f t="shared" si="9"/>
        <v>50358.25</v>
      </c>
    </row>
    <row r="98" spans="1:15" x14ac:dyDescent="0.25">
      <c r="A98" s="15" t="s">
        <v>817</v>
      </c>
      <c r="B98" s="5" t="s">
        <v>2094</v>
      </c>
      <c r="C98" s="5">
        <v>375</v>
      </c>
      <c r="D98" s="5">
        <v>82</v>
      </c>
      <c r="E98" s="7">
        <f>VLOOKUP(C98,'Taux unitaires'!E:F,2,FALSE)</f>
        <v>1650</v>
      </c>
      <c r="F98" s="6">
        <f t="shared" si="10"/>
        <v>135300</v>
      </c>
      <c r="G98" s="5">
        <f>VLOOKUP(B98,'Durée de vie utile'!$C$1:$E$6,3,FALSE)</f>
        <v>125</v>
      </c>
      <c r="H98" s="5">
        <f>VLOOKUP(B98,'Durée de vie utile'!$C$1:$E$6,2,FALSE)</f>
        <v>80</v>
      </c>
      <c r="I98" s="6">
        <f t="shared" si="11"/>
        <v>1691.25</v>
      </c>
      <c r="J98" s="6">
        <f>(F98/(1+'Autres hypothèses'!$D$5))*('Autres hypothèses'!$D$5/(((1+'Autres hypothèses'!$D$5)^'Conduite princ. - égout pluvial'!H98-1)))</f>
        <v>1101.0004160917472</v>
      </c>
      <c r="K98" s="5">
        <v>1974</v>
      </c>
      <c r="L98" s="5">
        <f t="shared" si="6"/>
        <v>48</v>
      </c>
      <c r="M98" s="1">
        <f t="shared" si="7"/>
        <v>0.6</v>
      </c>
      <c r="N98" s="3">
        <f t="shared" si="8"/>
        <v>81180</v>
      </c>
      <c r="O98" s="3">
        <f t="shared" si="9"/>
        <v>54120</v>
      </c>
    </row>
    <row r="99" spans="1:15" x14ac:dyDescent="0.25">
      <c r="A99" s="15" t="s">
        <v>818</v>
      </c>
      <c r="B99" s="5" t="s">
        <v>2095</v>
      </c>
      <c r="C99" s="5">
        <v>375</v>
      </c>
      <c r="D99" s="5">
        <v>68.099999999999994</v>
      </c>
      <c r="E99" s="7">
        <f>VLOOKUP(C99,'Taux unitaires'!E:F,2,FALSE)</f>
        <v>1650</v>
      </c>
      <c r="F99" s="6">
        <f t="shared" si="10"/>
        <v>112364.99999999999</v>
      </c>
      <c r="G99" s="5">
        <f>VLOOKUP(B99,'Durée de vie utile'!$C$1:$E$6,3,FALSE)</f>
        <v>125</v>
      </c>
      <c r="H99" s="5">
        <f>VLOOKUP(B99,'Durée de vie utile'!$C$1:$E$6,2,FALSE)</f>
        <v>90</v>
      </c>
      <c r="I99" s="6">
        <f t="shared" si="11"/>
        <v>1248.4999999999998</v>
      </c>
      <c r="J99" s="6">
        <f>(F99/(1+'Autres hypothèses'!$D$5))*('Autres hypothèses'!$D$5/(((1+'Autres hypothèses'!$D$5)^'Conduite princ. - égout pluvial'!H99-1)))</f>
        <v>767.98264456184961</v>
      </c>
      <c r="K99" s="5">
        <v>1981</v>
      </c>
      <c r="L99" s="5">
        <f t="shared" si="6"/>
        <v>41</v>
      </c>
      <c r="M99" s="1">
        <f t="shared" si="7"/>
        <v>0.45555555555555555</v>
      </c>
      <c r="N99" s="3">
        <f t="shared" si="8"/>
        <v>51188.499999999993</v>
      </c>
      <c r="O99" s="3">
        <f t="shared" si="9"/>
        <v>61176.499999999993</v>
      </c>
    </row>
    <row r="100" spans="1:15" x14ac:dyDescent="0.25">
      <c r="A100" s="15" t="s">
        <v>819</v>
      </c>
      <c r="B100" s="5" t="s">
        <v>2096</v>
      </c>
      <c r="C100" s="5">
        <v>300</v>
      </c>
      <c r="D100" s="5">
        <v>51.1</v>
      </c>
      <c r="E100" s="7">
        <f>VLOOKUP(C100,'Taux unitaires'!E:F,2,FALSE)</f>
        <v>1650</v>
      </c>
      <c r="F100" s="6">
        <f t="shared" si="10"/>
        <v>84315</v>
      </c>
      <c r="G100" s="5">
        <f>VLOOKUP(B100,'Durée de vie utile'!$C$1:$E$6,3,FALSE)</f>
        <v>125</v>
      </c>
      <c r="H100" s="5">
        <f>VLOOKUP(B100,'Durée de vie utile'!$C$1:$E$6,2,FALSE)</f>
        <v>90</v>
      </c>
      <c r="I100" s="6">
        <f t="shared" si="11"/>
        <v>936.83333333333337</v>
      </c>
      <c r="J100" s="6">
        <f>(F100/(1+'Autres hypothèses'!$D$5))*('Autres hypothèses'!$D$5/(((1+'Autres hypothèses'!$D$5)^'Conduite princ. - égout pluvial'!H100-1)))</f>
        <v>576.2689153760723</v>
      </c>
      <c r="K100" s="5">
        <v>1974</v>
      </c>
      <c r="L100" s="5">
        <f t="shared" si="6"/>
        <v>48</v>
      </c>
      <c r="M100" s="1">
        <f t="shared" si="7"/>
        <v>0.53333333333333333</v>
      </c>
      <c r="N100" s="3">
        <f t="shared" si="8"/>
        <v>44968</v>
      </c>
      <c r="O100" s="3">
        <f t="shared" si="9"/>
        <v>39347</v>
      </c>
    </row>
    <row r="101" spans="1:15" x14ac:dyDescent="0.25">
      <c r="A101" s="15" t="s">
        <v>820</v>
      </c>
      <c r="B101" s="5" t="s">
        <v>2097</v>
      </c>
      <c r="C101" s="5">
        <v>300</v>
      </c>
      <c r="D101" s="5">
        <v>0.7</v>
      </c>
      <c r="E101" s="7">
        <f>VLOOKUP(C101,'Taux unitaires'!E:F,2,FALSE)</f>
        <v>1650</v>
      </c>
      <c r="F101" s="6">
        <f t="shared" si="10"/>
        <v>1155</v>
      </c>
      <c r="G101" s="5">
        <f>VLOOKUP(B101,'Durée de vie utile'!$C$1:$E$6,3,FALSE)</f>
        <v>125</v>
      </c>
      <c r="H101" s="5">
        <f>VLOOKUP(B101,'Durée de vie utile'!$C$1:$E$6,2,FALSE)</f>
        <v>90</v>
      </c>
      <c r="I101" s="6">
        <f t="shared" si="11"/>
        <v>12.833333333333334</v>
      </c>
      <c r="J101" s="6">
        <f>(F101/(1+'Autres hypothèses'!$D$5))*('Autres hypothèses'!$D$5/(((1+'Autres hypothèses'!$D$5)^'Conduite princ. - égout pluvial'!H101-1)))</f>
        <v>7.8940947311790719</v>
      </c>
      <c r="K101" s="5">
        <v>1981</v>
      </c>
      <c r="L101" s="5">
        <f t="shared" si="6"/>
        <v>41</v>
      </c>
      <c r="M101" s="1">
        <f t="shared" si="7"/>
        <v>0.45555555555555555</v>
      </c>
      <c r="N101" s="3">
        <f t="shared" si="8"/>
        <v>526.16666666666663</v>
      </c>
      <c r="O101" s="3">
        <f t="shared" si="9"/>
        <v>628.83333333333337</v>
      </c>
    </row>
    <row r="102" spans="1:15" x14ac:dyDescent="0.25">
      <c r="A102" s="15" t="s">
        <v>821</v>
      </c>
      <c r="B102" s="5" t="s">
        <v>2098</v>
      </c>
      <c r="C102" s="5">
        <v>200</v>
      </c>
      <c r="D102" s="5">
        <v>88</v>
      </c>
      <c r="E102" s="7">
        <f>VLOOKUP(C102,'Taux unitaires'!E:F,2,FALSE)</f>
        <v>1550</v>
      </c>
      <c r="F102" s="6">
        <f t="shared" si="10"/>
        <v>136400</v>
      </c>
      <c r="G102" s="5">
        <f>VLOOKUP(B102,'Durée de vie utile'!$C$1:$E$6,3,FALSE)</f>
        <v>125</v>
      </c>
      <c r="H102" s="5">
        <f>VLOOKUP(B102,'Durée de vie utile'!$C$1:$E$6,2,FALSE)</f>
        <v>90</v>
      </c>
      <c r="I102" s="6">
        <f t="shared" si="11"/>
        <v>1515.5555555555557</v>
      </c>
      <c r="J102" s="6">
        <f>(F102/(1+'Autres hypothèses'!$D$5))*('Autres hypothèses'!$D$5/(((1+'Autres hypothèses'!$D$5)^'Conduite princ. - égout pluvial'!H102-1)))</f>
        <v>932.25499682495717</v>
      </c>
      <c r="K102" s="5">
        <v>1974</v>
      </c>
      <c r="L102" s="5">
        <f t="shared" si="6"/>
        <v>48</v>
      </c>
      <c r="M102" s="1">
        <f t="shared" si="7"/>
        <v>0.53333333333333333</v>
      </c>
      <c r="N102" s="3">
        <f t="shared" si="8"/>
        <v>72746.666666666672</v>
      </c>
      <c r="O102" s="3">
        <f t="shared" si="9"/>
        <v>63653.333333333328</v>
      </c>
    </row>
    <row r="103" spans="1:15" x14ac:dyDescent="0.25">
      <c r="A103" s="15" t="s">
        <v>822</v>
      </c>
      <c r="B103" s="5" t="s">
        <v>2099</v>
      </c>
      <c r="C103" s="5">
        <v>200</v>
      </c>
      <c r="D103" s="5">
        <v>21.8</v>
      </c>
      <c r="E103" s="7">
        <f>VLOOKUP(C103,'Taux unitaires'!E:F,2,FALSE)</f>
        <v>1550</v>
      </c>
      <c r="F103" s="6">
        <f t="shared" si="10"/>
        <v>33790</v>
      </c>
      <c r="G103" s="5">
        <f>VLOOKUP(B103,'Durée de vie utile'!$C$1:$E$6,3,FALSE)</f>
        <v>100</v>
      </c>
      <c r="H103" s="5">
        <f>VLOOKUP(B103,'Durée de vie utile'!$C$1:$E$6,2,FALSE)</f>
        <v>80</v>
      </c>
      <c r="I103" s="6">
        <f t="shared" si="11"/>
        <v>422.375</v>
      </c>
      <c r="J103" s="6">
        <f>(F103/(1+'Autres hypothèses'!$D$5))*('Autres hypothèses'!$D$5/(((1+'Autres hypothèses'!$D$5)^'Conduite princ. - égout pluvial'!H103-1)))</f>
        <v>274.96529238536687</v>
      </c>
      <c r="K103" s="5">
        <v>1974</v>
      </c>
      <c r="L103" s="5">
        <f t="shared" si="6"/>
        <v>48</v>
      </c>
      <c r="M103" s="1">
        <f t="shared" si="7"/>
        <v>0.6</v>
      </c>
      <c r="N103" s="3">
        <f t="shared" si="8"/>
        <v>20274</v>
      </c>
      <c r="O103" s="3">
        <f t="shared" si="9"/>
        <v>13516</v>
      </c>
    </row>
    <row r="104" spans="1:15" x14ac:dyDescent="0.25">
      <c r="A104" s="15" t="s">
        <v>823</v>
      </c>
      <c r="B104" s="5" t="s">
        <v>2100</v>
      </c>
      <c r="C104" s="5">
        <v>200</v>
      </c>
      <c r="D104" s="5">
        <v>69.699999999999989</v>
      </c>
      <c r="E104" s="7">
        <f>VLOOKUP(C104,'Taux unitaires'!E:F,2,FALSE)</f>
        <v>1550</v>
      </c>
      <c r="F104" s="6">
        <f t="shared" si="10"/>
        <v>108034.99999999999</v>
      </c>
      <c r="G104" s="5">
        <f>VLOOKUP(B104,'Durée de vie utile'!$C$1:$E$6,3,FALSE)</f>
        <v>100</v>
      </c>
      <c r="H104" s="5">
        <f>VLOOKUP(B104,'Durée de vie utile'!$C$1:$E$6,2,FALSE)</f>
        <v>70</v>
      </c>
      <c r="I104" s="6">
        <f t="shared" si="11"/>
        <v>1543.3571428571427</v>
      </c>
      <c r="J104" s="6">
        <f>(F104/(1+'Autres hypothèses'!$D$5))*('Autres hypothèses'!$D$5/(((1+'Autres hypothèses'!$D$5)^'Conduite princ. - égout pluvial'!H104-1)))</f>
        <v>1062.4676055222244</v>
      </c>
      <c r="K104" s="5">
        <v>1982</v>
      </c>
      <c r="L104" s="5">
        <f t="shared" si="6"/>
        <v>40</v>
      </c>
      <c r="M104" s="1">
        <f t="shared" si="7"/>
        <v>0.5714285714285714</v>
      </c>
      <c r="N104" s="3">
        <f t="shared" si="8"/>
        <v>61734.285714285703</v>
      </c>
      <c r="O104" s="3">
        <f t="shared" si="9"/>
        <v>46300.714285714283</v>
      </c>
    </row>
    <row r="105" spans="1:15" x14ac:dyDescent="0.25">
      <c r="A105" s="15" t="s">
        <v>824</v>
      </c>
      <c r="B105" s="5" t="s">
        <v>2101</v>
      </c>
      <c r="C105" s="5">
        <v>250</v>
      </c>
      <c r="D105" s="5">
        <v>9.7999999999999989</v>
      </c>
      <c r="E105" s="7">
        <f>VLOOKUP(C105,'Taux unitaires'!E:F,2,FALSE)</f>
        <v>1600</v>
      </c>
      <c r="F105" s="6">
        <f t="shared" si="10"/>
        <v>15679.999999999998</v>
      </c>
      <c r="G105" s="5">
        <f>VLOOKUP(B105,'Durée de vie utile'!$C$1:$E$6,3,FALSE)</f>
        <v>125</v>
      </c>
      <c r="H105" s="5">
        <f>VLOOKUP(B105,'Durée de vie utile'!$C$1:$E$6,2,FALSE)</f>
        <v>90</v>
      </c>
      <c r="I105" s="6">
        <f t="shared" si="11"/>
        <v>174.2222222222222</v>
      </c>
      <c r="J105" s="6">
        <f>(F105/(1+'Autres hypothèses'!$D$5))*('Autres hypothèses'!$D$5/(((1+'Autres hypothèses'!$D$5)^'Conduite princ. - égout pluvial'!H105-1)))</f>
        <v>107.16831635055223</v>
      </c>
      <c r="K105" s="5">
        <v>1982</v>
      </c>
      <c r="L105" s="5">
        <f t="shared" si="6"/>
        <v>40</v>
      </c>
      <c r="M105" s="1">
        <f t="shared" si="7"/>
        <v>0.44444444444444442</v>
      </c>
      <c r="N105" s="3">
        <f t="shared" si="8"/>
        <v>6968.8888888888878</v>
      </c>
      <c r="O105" s="3">
        <f t="shared" si="9"/>
        <v>8711.1111111111095</v>
      </c>
    </row>
    <row r="106" spans="1:15" x14ac:dyDescent="0.25">
      <c r="A106" s="15" t="s">
        <v>825</v>
      </c>
      <c r="B106" s="5" t="s">
        <v>2102</v>
      </c>
      <c r="C106" s="5">
        <v>250</v>
      </c>
      <c r="D106" s="5">
        <v>68.699999999999989</v>
      </c>
      <c r="E106" s="7">
        <f>VLOOKUP(C106,'Taux unitaires'!E:F,2,FALSE)</f>
        <v>1600</v>
      </c>
      <c r="F106" s="6">
        <f t="shared" si="10"/>
        <v>109919.99999999999</v>
      </c>
      <c r="G106" s="5">
        <f>VLOOKUP(B106,'Durée de vie utile'!$C$1:$E$6,3,FALSE)</f>
        <v>125</v>
      </c>
      <c r="H106" s="5">
        <f>VLOOKUP(B106,'Durée de vie utile'!$C$1:$E$6,2,FALSE)</f>
        <v>90</v>
      </c>
      <c r="I106" s="6">
        <f t="shared" si="11"/>
        <v>1221.3333333333333</v>
      </c>
      <c r="J106" s="6">
        <f>(F106/(1+'Autres hypothèses'!$D$5))*('Autres hypothèses'!$D$5/(((1+'Autres hypothèses'!$D$5)^'Conduite princ. - égout pluvial'!H106-1)))</f>
        <v>751.27176870234064</v>
      </c>
      <c r="K106" s="5">
        <v>1982</v>
      </c>
      <c r="L106" s="5">
        <f t="shared" si="6"/>
        <v>40</v>
      </c>
      <c r="M106" s="1">
        <f t="shared" si="7"/>
        <v>0.44444444444444442</v>
      </c>
      <c r="N106" s="3">
        <f t="shared" si="8"/>
        <v>48853.333333333321</v>
      </c>
      <c r="O106" s="3">
        <f t="shared" si="9"/>
        <v>61066.666666666664</v>
      </c>
    </row>
    <row r="107" spans="1:15" x14ac:dyDescent="0.25">
      <c r="A107" s="15" t="s">
        <v>826</v>
      </c>
      <c r="B107" s="5" t="s">
        <v>2103</v>
      </c>
      <c r="C107" s="5">
        <v>250</v>
      </c>
      <c r="D107" s="5">
        <v>5.5</v>
      </c>
      <c r="E107" s="7">
        <f>VLOOKUP(C107,'Taux unitaires'!E:F,2,FALSE)</f>
        <v>1600</v>
      </c>
      <c r="F107" s="6">
        <f t="shared" si="10"/>
        <v>8800</v>
      </c>
      <c r="G107" s="5">
        <f>VLOOKUP(B107,'Durée de vie utile'!$C$1:$E$6,3,FALSE)</f>
        <v>125</v>
      </c>
      <c r="H107" s="5">
        <f>VLOOKUP(B107,'Durée de vie utile'!$C$1:$E$6,2,FALSE)</f>
        <v>90</v>
      </c>
      <c r="I107" s="6">
        <f t="shared" si="11"/>
        <v>97.777777777777771</v>
      </c>
      <c r="J107" s="6">
        <f>(F107/(1+'Autres hypothèses'!$D$5))*('Autres hypothèses'!$D$5/(((1+'Autres hypothèses'!$D$5)^'Conduite princ. - égout pluvial'!H107-1)))</f>
        <v>60.145483666126268</v>
      </c>
      <c r="K107" s="5">
        <v>1982</v>
      </c>
      <c r="L107" s="5">
        <f t="shared" si="6"/>
        <v>40</v>
      </c>
      <c r="M107" s="1">
        <f t="shared" si="7"/>
        <v>0.44444444444444442</v>
      </c>
      <c r="N107" s="3">
        <f t="shared" si="8"/>
        <v>3911.1111111111109</v>
      </c>
      <c r="O107" s="3">
        <f t="shared" si="9"/>
        <v>4888.8888888888887</v>
      </c>
    </row>
    <row r="108" spans="1:15" x14ac:dyDescent="0.25">
      <c r="A108" s="15" t="s">
        <v>827</v>
      </c>
      <c r="B108" s="5" t="s">
        <v>2104</v>
      </c>
      <c r="C108" s="5">
        <v>250</v>
      </c>
      <c r="D108" s="5">
        <v>44.800000000000004</v>
      </c>
      <c r="E108" s="7">
        <f>VLOOKUP(C108,'Taux unitaires'!E:F,2,FALSE)</f>
        <v>1600</v>
      </c>
      <c r="F108" s="6">
        <f t="shared" si="10"/>
        <v>71680</v>
      </c>
      <c r="G108" s="5">
        <f>VLOOKUP(B108,'Durée de vie utile'!$C$1:$E$6,3,FALSE)</f>
        <v>125</v>
      </c>
      <c r="H108" s="5">
        <f>VLOOKUP(B108,'Durée de vie utile'!$C$1:$E$6,2,FALSE)</f>
        <v>90</v>
      </c>
      <c r="I108" s="6">
        <f t="shared" si="11"/>
        <v>796.44444444444446</v>
      </c>
      <c r="J108" s="6">
        <f>(F108/(1+'Autres hypothèses'!$D$5))*('Autres hypothèses'!$D$5/(((1+'Autres hypothèses'!$D$5)^'Conduite princ. - égout pluvial'!H108-1)))</f>
        <v>489.91230331681032</v>
      </c>
      <c r="K108" s="5">
        <v>1982</v>
      </c>
      <c r="L108" s="5">
        <f t="shared" si="6"/>
        <v>40</v>
      </c>
      <c r="M108" s="1">
        <f t="shared" si="7"/>
        <v>0.44444444444444442</v>
      </c>
      <c r="N108" s="3">
        <f t="shared" si="8"/>
        <v>31857.777777777777</v>
      </c>
      <c r="O108" s="3">
        <f t="shared" si="9"/>
        <v>39822.222222222219</v>
      </c>
    </row>
    <row r="109" spans="1:15" x14ac:dyDescent="0.25">
      <c r="A109" s="15" t="s">
        <v>828</v>
      </c>
      <c r="B109" s="5" t="s">
        <v>2105</v>
      </c>
      <c r="C109" s="5">
        <v>750</v>
      </c>
      <c r="D109" s="5">
        <v>39.1</v>
      </c>
      <c r="E109" s="7">
        <f>VLOOKUP(C109,'Taux unitaires'!E:F,2,FALSE)</f>
        <v>1900</v>
      </c>
      <c r="F109" s="6">
        <f t="shared" si="10"/>
        <v>74290</v>
      </c>
      <c r="G109" s="5">
        <f>VLOOKUP(B109,'Durée de vie utile'!$C$1:$E$6,3,FALSE)</f>
        <v>125</v>
      </c>
      <c r="H109" s="5">
        <f>VLOOKUP(B109,'Durée de vie utile'!$C$1:$E$6,2,FALSE)</f>
        <v>90</v>
      </c>
      <c r="I109" s="6">
        <f t="shared" si="11"/>
        <v>825.44444444444446</v>
      </c>
      <c r="J109" s="6">
        <f>(F109/(1+'Autres hypothèses'!$D$5))*('Autres hypothèses'!$D$5/(((1+'Autres hypothèses'!$D$5)^'Conduite princ. - égout pluvial'!H109-1)))</f>
        <v>507.7509069950591</v>
      </c>
      <c r="K109" s="5">
        <v>1977</v>
      </c>
      <c r="L109" s="5">
        <f t="shared" si="6"/>
        <v>45</v>
      </c>
      <c r="M109" s="1">
        <f t="shared" si="7"/>
        <v>0.5</v>
      </c>
      <c r="N109" s="3">
        <f t="shared" si="8"/>
        <v>37145</v>
      </c>
      <c r="O109" s="3">
        <f t="shared" si="9"/>
        <v>37145</v>
      </c>
    </row>
    <row r="110" spans="1:15" x14ac:dyDescent="0.25">
      <c r="A110" s="15" t="s">
        <v>829</v>
      </c>
      <c r="B110" s="5" t="s">
        <v>2106</v>
      </c>
      <c r="C110" s="5">
        <v>750</v>
      </c>
      <c r="D110" s="5">
        <v>8.7999999999999989</v>
      </c>
      <c r="E110" s="7">
        <f>VLOOKUP(C110,'Taux unitaires'!E:F,2,FALSE)</f>
        <v>1900</v>
      </c>
      <c r="F110" s="6">
        <f t="shared" si="10"/>
        <v>16719.999999999996</v>
      </c>
      <c r="G110" s="5">
        <f>VLOOKUP(B110,'Durée de vie utile'!$C$1:$E$6,3,FALSE)</f>
        <v>125</v>
      </c>
      <c r="H110" s="5">
        <f>VLOOKUP(B110,'Durée de vie utile'!$C$1:$E$6,2,FALSE)</f>
        <v>80</v>
      </c>
      <c r="I110" s="6">
        <f t="shared" si="11"/>
        <v>208.99999999999994</v>
      </c>
      <c r="J110" s="6">
        <f>(F110/(1+'Autres hypothèses'!$D$5))*('Autres hypothèses'!$D$5/(((1+'Autres hypothèses'!$D$5)^'Conduite princ. - égout pluvial'!H110-1)))</f>
        <v>136.05858800483378</v>
      </c>
      <c r="K110" s="5">
        <v>1984</v>
      </c>
      <c r="L110" s="5">
        <f t="shared" si="6"/>
        <v>38</v>
      </c>
      <c r="M110" s="1">
        <f t="shared" si="7"/>
        <v>0.47499999999999998</v>
      </c>
      <c r="N110" s="3">
        <f t="shared" si="8"/>
        <v>7941.9999999999982</v>
      </c>
      <c r="O110" s="3">
        <f t="shared" si="9"/>
        <v>8777.9999999999982</v>
      </c>
    </row>
    <row r="111" spans="1:15" x14ac:dyDescent="0.25">
      <c r="A111" s="15" t="s">
        <v>830</v>
      </c>
      <c r="B111" s="5" t="s">
        <v>2107</v>
      </c>
      <c r="C111" s="5">
        <v>250</v>
      </c>
      <c r="D111" s="5">
        <v>96.8</v>
      </c>
      <c r="E111" s="7">
        <f>VLOOKUP(C111,'Taux unitaires'!E:F,2,FALSE)</f>
        <v>1600</v>
      </c>
      <c r="F111" s="6">
        <f t="shared" si="10"/>
        <v>154880</v>
      </c>
      <c r="G111" s="5">
        <f>VLOOKUP(B111,'Durée de vie utile'!$C$1:$E$6,3,FALSE)</f>
        <v>125</v>
      </c>
      <c r="H111" s="5">
        <f>VLOOKUP(B111,'Durée de vie utile'!$C$1:$E$6,2,FALSE)</f>
        <v>90</v>
      </c>
      <c r="I111" s="6">
        <f t="shared" si="11"/>
        <v>1720.8888888888889</v>
      </c>
      <c r="J111" s="6">
        <f>(F111/(1+'Autres hypothèses'!$D$5))*('Autres hypothèses'!$D$5/(((1+'Autres hypothèses'!$D$5)^'Conduite princ. - égout pluvial'!H111-1)))</f>
        <v>1058.5605125238224</v>
      </c>
      <c r="K111" s="5">
        <v>1984</v>
      </c>
      <c r="L111" s="5">
        <f t="shared" si="6"/>
        <v>38</v>
      </c>
      <c r="M111" s="1">
        <f t="shared" si="7"/>
        <v>0.42222222222222222</v>
      </c>
      <c r="N111" s="3">
        <f t="shared" si="8"/>
        <v>65393.777777777781</v>
      </c>
      <c r="O111" s="3">
        <f t="shared" si="9"/>
        <v>89486.222222222219</v>
      </c>
    </row>
    <row r="112" spans="1:15" x14ac:dyDescent="0.25">
      <c r="A112" s="15" t="s">
        <v>831</v>
      </c>
      <c r="B112" s="5" t="s">
        <v>2108</v>
      </c>
      <c r="C112" s="5">
        <v>250</v>
      </c>
      <c r="D112" s="5">
        <v>23.5</v>
      </c>
      <c r="E112" s="7">
        <f>VLOOKUP(C112,'Taux unitaires'!E:F,2,FALSE)</f>
        <v>1600</v>
      </c>
      <c r="F112" s="6">
        <f t="shared" si="10"/>
        <v>37600</v>
      </c>
      <c r="G112" s="5">
        <f>VLOOKUP(B112,'Durée de vie utile'!$C$1:$E$6,3,FALSE)</f>
        <v>100</v>
      </c>
      <c r="H112" s="5">
        <f>VLOOKUP(B112,'Durée de vie utile'!$C$1:$E$6,2,FALSE)</f>
        <v>70</v>
      </c>
      <c r="I112" s="6">
        <f t="shared" si="11"/>
        <v>537.14285714285711</v>
      </c>
      <c r="J112" s="6">
        <f>(F112/(1+'Autres hypothèses'!$D$5))*('Autres hypothèses'!$D$5/(((1+'Autres hypothèses'!$D$5)^'Conduite princ. - égout pluvial'!H112-1)))</f>
        <v>369.77629441973107</v>
      </c>
      <c r="K112" s="5">
        <v>1977</v>
      </c>
      <c r="L112" s="5">
        <f t="shared" si="6"/>
        <v>45</v>
      </c>
      <c r="M112" s="1">
        <f t="shared" si="7"/>
        <v>0.6428571428571429</v>
      </c>
      <c r="N112" s="3">
        <f t="shared" si="8"/>
        <v>24171.428571428572</v>
      </c>
      <c r="O112" s="3">
        <f t="shared" si="9"/>
        <v>13428.571428571428</v>
      </c>
    </row>
    <row r="113" spans="1:15" x14ac:dyDescent="0.25">
      <c r="A113" s="15" t="s">
        <v>832</v>
      </c>
      <c r="B113" s="5" t="s">
        <v>2109</v>
      </c>
      <c r="C113" s="5">
        <v>200</v>
      </c>
      <c r="D113" s="5">
        <v>91.6</v>
      </c>
      <c r="E113" s="7">
        <f>VLOOKUP(C113,'Taux unitaires'!E:F,2,FALSE)</f>
        <v>1550</v>
      </c>
      <c r="F113" s="6">
        <f t="shared" si="10"/>
        <v>141980</v>
      </c>
      <c r="G113" s="5">
        <f>VLOOKUP(B113,'Durée de vie utile'!$C$1:$E$6,3,FALSE)</f>
        <v>100</v>
      </c>
      <c r="H113" s="5">
        <f>VLOOKUP(B113,'Durée de vie utile'!$C$1:$E$6,2,FALSE)</f>
        <v>70</v>
      </c>
      <c r="I113" s="6">
        <f t="shared" si="11"/>
        <v>2028.2857142857142</v>
      </c>
      <c r="J113" s="6">
        <f>(F113/(1+'Autres hypothèses'!$D$5))*('Autres hypothèses'!$D$5/(((1+'Autres hypothèses'!$D$5)^'Conduite princ. - égout pluvial'!H113-1)))</f>
        <v>1396.2988904711015</v>
      </c>
      <c r="K113" s="5">
        <v>1984</v>
      </c>
      <c r="L113" s="5">
        <f t="shared" si="6"/>
        <v>38</v>
      </c>
      <c r="M113" s="1">
        <f t="shared" si="7"/>
        <v>0.54285714285714282</v>
      </c>
      <c r="N113" s="3">
        <f t="shared" si="8"/>
        <v>77074.85714285713</v>
      </c>
      <c r="O113" s="3">
        <f t="shared" si="9"/>
        <v>64905.14285714287</v>
      </c>
    </row>
    <row r="114" spans="1:15" x14ac:dyDescent="0.25">
      <c r="A114" s="15" t="s">
        <v>833</v>
      </c>
      <c r="B114" s="5" t="s">
        <v>2110</v>
      </c>
      <c r="C114" s="5">
        <v>250</v>
      </c>
      <c r="D114" s="5">
        <v>60</v>
      </c>
      <c r="E114" s="7">
        <f>VLOOKUP(C114,'Taux unitaires'!E:F,2,FALSE)</f>
        <v>1600</v>
      </c>
      <c r="F114" s="6">
        <f t="shared" si="10"/>
        <v>96000</v>
      </c>
      <c r="G114" s="5">
        <f>VLOOKUP(B114,'Durée de vie utile'!$C$1:$E$6,3,FALSE)</f>
        <v>100</v>
      </c>
      <c r="H114" s="5">
        <f>VLOOKUP(B114,'Durée de vie utile'!$C$1:$E$6,2,FALSE)</f>
        <v>70</v>
      </c>
      <c r="I114" s="6">
        <f t="shared" si="11"/>
        <v>1371.4285714285713</v>
      </c>
      <c r="J114" s="6">
        <f>(F114/(1+'Autres hypothèses'!$D$5))*('Autres hypothèses'!$D$5/(((1+'Autres hypothèses'!$D$5)^'Conduite princ. - égout pluvial'!H114-1)))</f>
        <v>944.1096878801643</v>
      </c>
      <c r="K114" s="5">
        <v>1984</v>
      </c>
      <c r="L114" s="5">
        <f t="shared" si="6"/>
        <v>38</v>
      </c>
      <c r="M114" s="1">
        <f t="shared" si="7"/>
        <v>0.54285714285714282</v>
      </c>
      <c r="N114" s="3">
        <f t="shared" si="8"/>
        <v>52114.28571428571</v>
      </c>
      <c r="O114" s="3">
        <f t="shared" si="9"/>
        <v>43885.71428571429</v>
      </c>
    </row>
    <row r="115" spans="1:15" x14ac:dyDescent="0.25">
      <c r="A115" s="15" t="s">
        <v>834</v>
      </c>
      <c r="B115" s="5" t="s">
        <v>2111</v>
      </c>
      <c r="C115" s="5">
        <v>250</v>
      </c>
      <c r="D115" s="5">
        <v>44</v>
      </c>
      <c r="E115" s="7">
        <f>VLOOKUP(C115,'Taux unitaires'!E:F,2,FALSE)</f>
        <v>1600</v>
      </c>
      <c r="F115" s="6">
        <f t="shared" si="10"/>
        <v>70400</v>
      </c>
      <c r="G115" s="5">
        <f>VLOOKUP(B115,'Durée de vie utile'!$C$1:$E$6,3,FALSE)</f>
        <v>100</v>
      </c>
      <c r="H115" s="5">
        <f>VLOOKUP(B115,'Durée de vie utile'!$C$1:$E$6,2,FALSE)</f>
        <v>70</v>
      </c>
      <c r="I115" s="6">
        <f t="shared" si="11"/>
        <v>1005.7142857142857</v>
      </c>
      <c r="J115" s="6">
        <f>(F115/(1+'Autres hypothèses'!$D$5))*('Autres hypothèses'!$D$5/(((1+'Autres hypothèses'!$D$5)^'Conduite princ. - égout pluvial'!H115-1)))</f>
        <v>692.34710444545397</v>
      </c>
      <c r="K115" s="5">
        <v>1977</v>
      </c>
      <c r="L115" s="5">
        <f t="shared" si="6"/>
        <v>45</v>
      </c>
      <c r="M115" s="1">
        <f t="shared" si="7"/>
        <v>0.6428571428571429</v>
      </c>
      <c r="N115" s="3">
        <f t="shared" si="8"/>
        <v>45257.142857142862</v>
      </c>
      <c r="O115" s="3">
        <f t="shared" si="9"/>
        <v>25142.857142857138</v>
      </c>
    </row>
    <row r="116" spans="1:15" x14ac:dyDescent="0.25">
      <c r="A116" s="15" t="s">
        <v>835</v>
      </c>
      <c r="B116" s="5" t="s">
        <v>2112</v>
      </c>
      <c r="C116" s="5">
        <v>750</v>
      </c>
      <c r="D116" s="5">
        <v>57.6</v>
      </c>
      <c r="E116" s="7">
        <f>VLOOKUP(C116,'Taux unitaires'!E:F,2,FALSE)</f>
        <v>1900</v>
      </c>
      <c r="F116" s="6">
        <f t="shared" si="10"/>
        <v>109440</v>
      </c>
      <c r="G116" s="5">
        <f>VLOOKUP(B116,'Durée de vie utile'!$C$1:$E$6,3,FALSE)</f>
        <v>125</v>
      </c>
      <c r="H116" s="5">
        <f>VLOOKUP(B116,'Durée de vie utile'!$C$1:$E$6,2,FALSE)</f>
        <v>90</v>
      </c>
      <c r="I116" s="6">
        <f t="shared" si="11"/>
        <v>1216</v>
      </c>
      <c r="J116" s="6">
        <f>(F116/(1+'Autres hypothèses'!$D$5))*('Autres hypothèses'!$D$5/(((1+'Autres hypothèses'!$D$5)^'Conduite princ. - égout pluvial'!H116-1)))</f>
        <v>747.9911059569157</v>
      </c>
      <c r="K116" s="5">
        <v>1977</v>
      </c>
      <c r="L116" s="5">
        <f t="shared" si="6"/>
        <v>45</v>
      </c>
      <c r="M116" s="1">
        <f t="shared" si="7"/>
        <v>0.5</v>
      </c>
      <c r="N116" s="3">
        <f t="shared" si="8"/>
        <v>54720</v>
      </c>
      <c r="O116" s="3">
        <f t="shared" si="9"/>
        <v>54720</v>
      </c>
    </row>
    <row r="117" spans="1:15" x14ac:dyDescent="0.25">
      <c r="A117" s="15" t="s">
        <v>836</v>
      </c>
      <c r="B117" s="5" t="s">
        <v>2113</v>
      </c>
      <c r="C117" s="5">
        <v>375</v>
      </c>
      <c r="D117" s="5">
        <v>23</v>
      </c>
      <c r="E117" s="7">
        <f>VLOOKUP(C117,'Taux unitaires'!E:F,2,FALSE)</f>
        <v>1650</v>
      </c>
      <c r="F117" s="6">
        <f t="shared" si="10"/>
        <v>37950</v>
      </c>
      <c r="G117" s="5">
        <f>VLOOKUP(B117,'Durée de vie utile'!$C$1:$E$6,3,FALSE)</f>
        <v>125</v>
      </c>
      <c r="H117" s="5">
        <f>VLOOKUP(B117,'Durée de vie utile'!$C$1:$E$6,2,FALSE)</f>
        <v>80</v>
      </c>
      <c r="I117" s="6">
        <f t="shared" si="11"/>
        <v>474.375</v>
      </c>
      <c r="J117" s="6">
        <f>(F117/(1+'Autres hypothèses'!$D$5))*('Autres hypothèses'!$D$5/(((1+'Autres hypothèses'!$D$5)^'Conduite princ. - égout pluvial'!H117-1)))</f>
        <v>308.81718987939252</v>
      </c>
      <c r="K117" s="5">
        <v>1977</v>
      </c>
      <c r="L117" s="5">
        <f t="shared" si="6"/>
        <v>45</v>
      </c>
      <c r="M117" s="1">
        <f t="shared" si="7"/>
        <v>0.5625</v>
      </c>
      <c r="N117" s="3">
        <f t="shared" si="8"/>
        <v>21346.875</v>
      </c>
      <c r="O117" s="3">
        <f t="shared" si="9"/>
        <v>16603.125</v>
      </c>
    </row>
    <row r="118" spans="1:15" x14ac:dyDescent="0.25">
      <c r="A118" s="15" t="s">
        <v>837</v>
      </c>
      <c r="B118" s="5" t="s">
        <v>2114</v>
      </c>
      <c r="C118" s="5">
        <v>200</v>
      </c>
      <c r="D118" s="5">
        <v>38.300000000000004</v>
      </c>
      <c r="E118" s="7">
        <f>VLOOKUP(C118,'Taux unitaires'!E:F,2,FALSE)</f>
        <v>1550</v>
      </c>
      <c r="F118" s="6">
        <f t="shared" si="10"/>
        <v>59365.000000000007</v>
      </c>
      <c r="G118" s="5">
        <f>VLOOKUP(B118,'Durée de vie utile'!$C$1:$E$6,3,FALSE)</f>
        <v>125</v>
      </c>
      <c r="H118" s="5">
        <f>VLOOKUP(B118,'Durée de vie utile'!$C$1:$E$6,2,FALSE)</f>
        <v>80</v>
      </c>
      <c r="I118" s="6">
        <f t="shared" si="11"/>
        <v>742.06250000000011</v>
      </c>
      <c r="J118" s="6">
        <f>(F118/(1+'Autres hypothèses'!$D$5))*('Autres hypothèses'!$D$5/(((1+'Autres hypothèses'!$D$5)^'Conduite princ. - égout pluvial'!H118-1)))</f>
        <v>483.08122469539234</v>
      </c>
      <c r="K118" s="5">
        <v>1985</v>
      </c>
      <c r="L118" s="5">
        <f t="shared" si="6"/>
        <v>37</v>
      </c>
      <c r="M118" s="1">
        <f t="shared" si="7"/>
        <v>0.46250000000000002</v>
      </c>
      <c r="N118" s="3">
        <f t="shared" si="8"/>
        <v>27456.312500000004</v>
      </c>
      <c r="O118" s="3">
        <f t="shared" si="9"/>
        <v>31908.687500000004</v>
      </c>
    </row>
    <row r="119" spans="1:15" x14ac:dyDescent="0.25">
      <c r="A119" s="15" t="s">
        <v>838</v>
      </c>
      <c r="B119" s="5" t="s">
        <v>2115</v>
      </c>
      <c r="C119" s="5">
        <v>250</v>
      </c>
      <c r="D119" s="5">
        <v>78</v>
      </c>
      <c r="E119" s="7">
        <f>VLOOKUP(C119,'Taux unitaires'!E:F,2,FALSE)</f>
        <v>1600</v>
      </c>
      <c r="F119" s="6">
        <f t="shared" si="10"/>
        <v>124800</v>
      </c>
      <c r="G119" s="5">
        <f>VLOOKUP(B119,'Durée de vie utile'!$C$1:$E$6,3,FALSE)</f>
        <v>100</v>
      </c>
      <c r="H119" s="5">
        <f>VLOOKUP(B119,'Durée de vie utile'!$C$1:$E$6,2,FALSE)</f>
        <v>70</v>
      </c>
      <c r="I119" s="6">
        <f t="shared" si="11"/>
        <v>1782.8571428571429</v>
      </c>
      <c r="J119" s="6">
        <f>(F119/(1+'Autres hypothèses'!$D$5))*('Autres hypothèses'!$D$5/(((1+'Autres hypothèses'!$D$5)^'Conduite princ. - égout pluvial'!H119-1)))</f>
        <v>1227.3425942442138</v>
      </c>
      <c r="K119" s="5">
        <v>1985</v>
      </c>
      <c r="L119" s="5">
        <f t="shared" si="6"/>
        <v>37</v>
      </c>
      <c r="M119" s="1">
        <f t="shared" si="7"/>
        <v>0.52857142857142858</v>
      </c>
      <c r="N119" s="3">
        <f t="shared" si="8"/>
        <v>65965.71428571429</v>
      </c>
      <c r="O119" s="3">
        <f t="shared" si="9"/>
        <v>58834.28571428571</v>
      </c>
    </row>
    <row r="120" spans="1:15" x14ac:dyDescent="0.25">
      <c r="A120" s="15" t="s">
        <v>839</v>
      </c>
      <c r="B120" s="5" t="s">
        <v>2116</v>
      </c>
      <c r="C120" s="5">
        <v>300</v>
      </c>
      <c r="D120" s="5">
        <v>3.1</v>
      </c>
      <c r="E120" s="7">
        <f>VLOOKUP(C120,'Taux unitaires'!E:F,2,FALSE)</f>
        <v>1650</v>
      </c>
      <c r="F120" s="6">
        <f t="shared" si="10"/>
        <v>5115</v>
      </c>
      <c r="G120" s="5">
        <f>VLOOKUP(B120,'Durée de vie utile'!$C$1:$E$6,3,FALSE)</f>
        <v>100</v>
      </c>
      <c r="H120" s="5">
        <f>VLOOKUP(B120,'Durée de vie utile'!$C$1:$E$6,2,FALSE)</f>
        <v>70</v>
      </c>
      <c r="I120" s="6">
        <f t="shared" si="11"/>
        <v>73.071428571428569</v>
      </c>
      <c r="J120" s="6">
        <f>(F120/(1+'Autres hypothèses'!$D$5))*('Autres hypothèses'!$D$5/(((1+'Autres hypothèses'!$D$5)^'Conduite princ. - égout pluvial'!H120-1)))</f>
        <v>50.303344307365009</v>
      </c>
      <c r="K120" s="5">
        <v>1985</v>
      </c>
      <c r="L120" s="5">
        <f t="shared" si="6"/>
        <v>37</v>
      </c>
      <c r="M120" s="1">
        <f t="shared" si="7"/>
        <v>0.52857142857142858</v>
      </c>
      <c r="N120" s="3">
        <f t="shared" si="8"/>
        <v>2703.6428571428573</v>
      </c>
      <c r="O120" s="3">
        <f t="shared" si="9"/>
        <v>2411.3571428571427</v>
      </c>
    </row>
    <row r="121" spans="1:15" x14ac:dyDescent="0.25">
      <c r="A121" s="15" t="s">
        <v>840</v>
      </c>
      <c r="B121" s="5" t="s">
        <v>2117</v>
      </c>
      <c r="C121" s="5">
        <v>300</v>
      </c>
      <c r="D121" s="5">
        <v>45.7</v>
      </c>
      <c r="E121" s="7">
        <f>VLOOKUP(C121,'Taux unitaires'!E:F,2,FALSE)</f>
        <v>1650</v>
      </c>
      <c r="F121" s="6">
        <f t="shared" si="10"/>
        <v>75405</v>
      </c>
      <c r="G121" s="5">
        <f>VLOOKUP(B121,'Durée de vie utile'!$C$1:$E$6,3,FALSE)</f>
        <v>125</v>
      </c>
      <c r="H121" s="5">
        <f>VLOOKUP(B121,'Durée de vie utile'!$C$1:$E$6,2,FALSE)</f>
        <v>80</v>
      </c>
      <c r="I121" s="6">
        <f t="shared" si="11"/>
        <v>942.5625</v>
      </c>
      <c r="J121" s="6">
        <f>(F121/(1+'Autres hypothèses'!$D$5))*('Autres hypothèses'!$D$5/(((1+'Autres hypothèses'!$D$5)^'Conduite princ. - égout pluvial'!H121-1)))</f>
        <v>613.60632945601037</v>
      </c>
      <c r="K121" s="5">
        <v>1986</v>
      </c>
      <c r="L121" s="5">
        <f t="shared" si="6"/>
        <v>36</v>
      </c>
      <c r="M121" s="1">
        <f t="shared" si="7"/>
        <v>0.45</v>
      </c>
      <c r="N121" s="3">
        <f t="shared" si="8"/>
        <v>33932.25</v>
      </c>
      <c r="O121" s="3">
        <f t="shared" si="9"/>
        <v>41472.75</v>
      </c>
    </row>
    <row r="122" spans="1:15" x14ac:dyDescent="0.25">
      <c r="A122" s="15" t="s">
        <v>841</v>
      </c>
      <c r="B122" s="5" t="s">
        <v>2118</v>
      </c>
      <c r="C122" s="5">
        <v>750</v>
      </c>
      <c r="D122" s="5">
        <v>3.8000000000000003</v>
      </c>
      <c r="E122" s="7">
        <f>VLOOKUP(C122,'Taux unitaires'!E:F,2,FALSE)</f>
        <v>1900</v>
      </c>
      <c r="F122" s="6">
        <f t="shared" si="10"/>
        <v>7220.0000000000009</v>
      </c>
      <c r="G122" s="5">
        <f>VLOOKUP(B122,'Durée de vie utile'!$C$1:$E$6,3,FALSE)</f>
        <v>125</v>
      </c>
      <c r="H122" s="5">
        <f>VLOOKUP(B122,'Durée de vie utile'!$C$1:$E$6,2,FALSE)</f>
        <v>80</v>
      </c>
      <c r="I122" s="6">
        <f t="shared" si="11"/>
        <v>90.250000000000014</v>
      </c>
      <c r="J122" s="6">
        <f>(F122/(1+'Autres hypothèses'!$D$5))*('Autres hypothèses'!$D$5/(((1+'Autres hypothèses'!$D$5)^'Conduite princ. - égout pluvial'!H122-1)))</f>
        <v>58.752572092996424</v>
      </c>
      <c r="K122" s="5">
        <v>1986</v>
      </c>
      <c r="L122" s="5">
        <f t="shared" si="6"/>
        <v>36</v>
      </c>
      <c r="M122" s="1">
        <f t="shared" si="7"/>
        <v>0.45</v>
      </c>
      <c r="N122" s="3">
        <f t="shared" si="8"/>
        <v>3249.0000000000005</v>
      </c>
      <c r="O122" s="3">
        <f t="shared" si="9"/>
        <v>3971.0000000000005</v>
      </c>
    </row>
    <row r="123" spans="1:15" x14ac:dyDescent="0.25">
      <c r="A123" s="15" t="s">
        <v>842</v>
      </c>
      <c r="B123" s="5" t="s">
        <v>2119</v>
      </c>
      <c r="C123" s="5">
        <v>200</v>
      </c>
      <c r="D123" s="5">
        <v>75.099999999999994</v>
      </c>
      <c r="E123" s="7">
        <f>VLOOKUP(C123,'Taux unitaires'!E:F,2,FALSE)</f>
        <v>1550</v>
      </c>
      <c r="F123" s="6">
        <f t="shared" si="10"/>
        <v>116404.99999999999</v>
      </c>
      <c r="G123" s="5">
        <f>VLOOKUP(B123,'Durée de vie utile'!$C$1:$E$6,3,FALSE)</f>
        <v>100</v>
      </c>
      <c r="H123" s="5">
        <f>VLOOKUP(B123,'Durée de vie utile'!$C$1:$E$6,2,FALSE)</f>
        <v>70</v>
      </c>
      <c r="I123" s="6">
        <f t="shared" si="11"/>
        <v>1662.9285714285713</v>
      </c>
      <c r="J123" s="6">
        <f>(F123/(1+'Autres hypothèses'!$D$5))*('Autres hypothèses'!$D$5/(((1+'Autres hypothèses'!$D$5)^'Conduite princ. - égout pluvial'!H123-1)))</f>
        <v>1144.7821689342763</v>
      </c>
      <c r="K123" s="5">
        <v>1986</v>
      </c>
      <c r="L123" s="5">
        <f t="shared" si="6"/>
        <v>36</v>
      </c>
      <c r="M123" s="1">
        <f t="shared" si="7"/>
        <v>0.51428571428571423</v>
      </c>
      <c r="N123" s="3">
        <f t="shared" si="8"/>
        <v>59865.428571428558</v>
      </c>
      <c r="O123" s="3">
        <f t="shared" si="9"/>
        <v>56539.571428571428</v>
      </c>
    </row>
    <row r="124" spans="1:15" x14ac:dyDescent="0.25">
      <c r="A124" s="15" t="s">
        <v>843</v>
      </c>
      <c r="B124" s="5" t="s">
        <v>2120</v>
      </c>
      <c r="C124" s="5">
        <v>250</v>
      </c>
      <c r="D124" s="5">
        <v>77.699999999999989</v>
      </c>
      <c r="E124" s="7">
        <f>VLOOKUP(C124,'Taux unitaires'!E:F,2,FALSE)</f>
        <v>1600</v>
      </c>
      <c r="F124" s="6">
        <f t="shared" si="10"/>
        <v>124319.99999999999</v>
      </c>
      <c r="G124" s="5">
        <f>VLOOKUP(B124,'Durée de vie utile'!$C$1:$E$6,3,FALSE)</f>
        <v>100</v>
      </c>
      <c r="H124" s="5">
        <f>VLOOKUP(B124,'Durée de vie utile'!$C$1:$E$6,2,FALSE)</f>
        <v>70</v>
      </c>
      <c r="I124" s="6">
        <f t="shared" si="11"/>
        <v>1775.9999999999998</v>
      </c>
      <c r="J124" s="6">
        <f>(F124/(1+'Autres hypothèses'!$D$5))*('Autres hypothèses'!$D$5/(((1+'Autres hypothèses'!$D$5)^'Conduite princ. - égout pluvial'!H124-1)))</f>
        <v>1222.6220458048126</v>
      </c>
      <c r="K124" s="5">
        <v>1987</v>
      </c>
      <c r="L124" s="5">
        <f t="shared" si="6"/>
        <v>35</v>
      </c>
      <c r="M124" s="1">
        <f t="shared" si="7"/>
        <v>0.5</v>
      </c>
      <c r="N124" s="3">
        <f t="shared" si="8"/>
        <v>62159.999999999993</v>
      </c>
      <c r="O124" s="3">
        <f t="shared" si="9"/>
        <v>62159.999999999993</v>
      </c>
    </row>
    <row r="125" spans="1:15" x14ac:dyDescent="0.25">
      <c r="A125" s="15" t="s">
        <v>844</v>
      </c>
      <c r="B125" s="5" t="s">
        <v>2121</v>
      </c>
      <c r="C125" s="5">
        <v>250</v>
      </c>
      <c r="D125" s="5">
        <v>93.6</v>
      </c>
      <c r="E125" s="7">
        <f>VLOOKUP(C125,'Taux unitaires'!E:F,2,FALSE)</f>
        <v>1600</v>
      </c>
      <c r="F125" s="6">
        <f t="shared" si="10"/>
        <v>149760</v>
      </c>
      <c r="G125" s="5">
        <f>VLOOKUP(B125,'Durée de vie utile'!$C$1:$E$6,3,FALSE)</f>
        <v>125</v>
      </c>
      <c r="H125" s="5">
        <f>VLOOKUP(B125,'Durée de vie utile'!$C$1:$E$6,2,FALSE)</f>
        <v>80</v>
      </c>
      <c r="I125" s="6">
        <f t="shared" si="11"/>
        <v>1872</v>
      </c>
      <c r="J125" s="6">
        <f>(F125/(1+'Autres hypothèses'!$D$5))*('Autres hypothèses'!$D$5/(((1+'Autres hypothèses'!$D$5)^'Conduite princ. - égout pluvial'!H125-1)))</f>
        <v>1218.6683097849229</v>
      </c>
      <c r="K125" s="5">
        <v>1979</v>
      </c>
      <c r="L125" s="5">
        <f t="shared" si="6"/>
        <v>43</v>
      </c>
      <c r="M125" s="1">
        <f t="shared" si="7"/>
        <v>0.53749999999999998</v>
      </c>
      <c r="N125" s="3">
        <f t="shared" si="8"/>
        <v>80496</v>
      </c>
      <c r="O125" s="3">
        <f t="shared" si="9"/>
        <v>69264</v>
      </c>
    </row>
    <row r="126" spans="1:15" x14ac:dyDescent="0.25">
      <c r="A126" s="15" t="s">
        <v>845</v>
      </c>
      <c r="B126" s="5" t="s">
        <v>2122</v>
      </c>
      <c r="C126" s="5">
        <v>250</v>
      </c>
      <c r="D126" s="5">
        <v>4.5999999999999996</v>
      </c>
      <c r="E126" s="7">
        <f>VLOOKUP(C126,'Taux unitaires'!E:F,2,FALSE)</f>
        <v>1600</v>
      </c>
      <c r="F126" s="6">
        <f t="shared" si="10"/>
        <v>7359.9999999999991</v>
      </c>
      <c r="G126" s="5">
        <f>VLOOKUP(B126,'Durée de vie utile'!$C$1:$E$6,3,FALSE)</f>
        <v>100</v>
      </c>
      <c r="H126" s="5">
        <f>VLOOKUP(B126,'Durée de vie utile'!$C$1:$E$6,2,FALSE)</f>
        <v>70</v>
      </c>
      <c r="I126" s="6">
        <f t="shared" si="11"/>
        <v>105.14285714285712</v>
      </c>
      <c r="J126" s="6">
        <f>(F126/(1+'Autres hypothèses'!$D$5))*('Autres hypothèses'!$D$5/(((1+'Autres hypothèses'!$D$5)^'Conduite princ. - égout pluvial'!H126-1)))</f>
        <v>72.381742737479271</v>
      </c>
      <c r="K126" s="5">
        <v>1987</v>
      </c>
      <c r="L126" s="5">
        <f t="shared" si="6"/>
        <v>35</v>
      </c>
      <c r="M126" s="1">
        <f t="shared" si="7"/>
        <v>0.5</v>
      </c>
      <c r="N126" s="3">
        <f t="shared" si="8"/>
        <v>3679.9999999999995</v>
      </c>
      <c r="O126" s="3">
        <f t="shared" si="9"/>
        <v>3679.9999999999995</v>
      </c>
    </row>
    <row r="127" spans="1:15" x14ac:dyDescent="0.25">
      <c r="A127" s="15" t="s">
        <v>846</v>
      </c>
      <c r="B127" s="5" t="s">
        <v>2123</v>
      </c>
      <c r="C127" s="5">
        <v>375</v>
      </c>
      <c r="D127" s="5">
        <v>53.7</v>
      </c>
      <c r="E127" s="7">
        <f>VLOOKUP(C127,'Taux unitaires'!E:F,2,FALSE)</f>
        <v>1650</v>
      </c>
      <c r="F127" s="6">
        <f t="shared" si="10"/>
        <v>88605</v>
      </c>
      <c r="G127" s="5">
        <f>VLOOKUP(B127,'Durée de vie utile'!$C$1:$E$6,3,FALSE)</f>
        <v>100</v>
      </c>
      <c r="H127" s="5">
        <f>VLOOKUP(B127,'Durée de vie utile'!$C$1:$E$6,2,FALSE)</f>
        <v>70</v>
      </c>
      <c r="I127" s="6">
        <f t="shared" si="11"/>
        <v>1265.7857142857142</v>
      </c>
      <c r="J127" s="6">
        <f>(F127/(1+'Autres hypothèses'!$D$5))*('Autres hypothèses'!$D$5/(((1+'Autres hypothèses'!$D$5)^'Conduite princ. - égout pluvial'!H127-1)))</f>
        <v>871.38373848564538</v>
      </c>
      <c r="K127" s="5">
        <v>1979</v>
      </c>
      <c r="L127" s="5">
        <f t="shared" si="6"/>
        <v>43</v>
      </c>
      <c r="M127" s="1">
        <f t="shared" si="7"/>
        <v>0.61428571428571432</v>
      </c>
      <c r="N127" s="3">
        <f t="shared" si="8"/>
        <v>54428.785714285717</v>
      </c>
      <c r="O127" s="3">
        <f t="shared" si="9"/>
        <v>34176.214285714283</v>
      </c>
    </row>
    <row r="128" spans="1:15" x14ac:dyDescent="0.25">
      <c r="A128" s="15" t="s">
        <v>847</v>
      </c>
      <c r="B128" s="5" t="s">
        <v>2124</v>
      </c>
      <c r="C128" s="5">
        <v>375</v>
      </c>
      <c r="D128" s="5">
        <v>59.9</v>
      </c>
      <c r="E128" s="7">
        <f>VLOOKUP(C128,'Taux unitaires'!E:F,2,FALSE)</f>
        <v>1650</v>
      </c>
      <c r="F128" s="6">
        <f t="shared" si="10"/>
        <v>98835</v>
      </c>
      <c r="G128" s="5">
        <f>VLOOKUP(B128,'Durée de vie utile'!$C$1:$E$6,3,FALSE)</f>
        <v>125</v>
      </c>
      <c r="H128" s="5">
        <f>VLOOKUP(B128,'Durée de vie utile'!$C$1:$E$6,2,FALSE)</f>
        <v>80</v>
      </c>
      <c r="I128" s="6">
        <f t="shared" si="11"/>
        <v>1235.4375</v>
      </c>
      <c r="J128" s="6">
        <f>(F128/(1+'Autres hypothèses'!$D$5))*('Autres hypothèses'!$D$5/(((1+'Autres hypothèses'!$D$5)^'Conduite princ. - égout pluvial'!H128-1)))</f>
        <v>804.26737712067882</v>
      </c>
      <c r="K128" s="5">
        <v>1979</v>
      </c>
      <c r="L128" s="5">
        <f t="shared" si="6"/>
        <v>43</v>
      </c>
      <c r="M128" s="1">
        <f t="shared" si="7"/>
        <v>0.53749999999999998</v>
      </c>
      <c r="N128" s="3">
        <f t="shared" si="8"/>
        <v>53123.8125</v>
      </c>
      <c r="O128" s="3">
        <f t="shared" si="9"/>
        <v>45711.1875</v>
      </c>
    </row>
    <row r="129" spans="1:15" x14ac:dyDescent="0.25">
      <c r="A129" s="15" t="s">
        <v>848</v>
      </c>
      <c r="B129" s="5" t="s">
        <v>2125</v>
      </c>
      <c r="C129" s="5">
        <v>200</v>
      </c>
      <c r="D129" s="5">
        <v>74.5</v>
      </c>
      <c r="E129" s="7">
        <f>VLOOKUP(C129,'Taux unitaires'!E:F,2,FALSE)</f>
        <v>1550</v>
      </c>
      <c r="F129" s="6">
        <f t="shared" si="10"/>
        <v>115475</v>
      </c>
      <c r="G129" s="5">
        <f>VLOOKUP(B129,'Durée de vie utile'!$C$1:$E$6,3,FALSE)</f>
        <v>125</v>
      </c>
      <c r="H129" s="5">
        <f>VLOOKUP(B129,'Durée de vie utile'!$C$1:$E$6,2,FALSE)</f>
        <v>90</v>
      </c>
      <c r="I129" s="6">
        <f t="shared" si="11"/>
        <v>1283.0555555555557</v>
      </c>
      <c r="J129" s="6">
        <f>(F129/(1+'Autres hypothèses'!$D$5))*('Autres hypothèses'!$D$5/(((1+'Autres hypothèses'!$D$5)^'Conduite princ. - égout pluvial'!H129-1)))</f>
        <v>789.23860526658302</v>
      </c>
      <c r="K129" s="5">
        <v>1979</v>
      </c>
      <c r="L129" s="5">
        <f t="shared" si="6"/>
        <v>43</v>
      </c>
      <c r="M129" s="1">
        <f t="shared" si="7"/>
        <v>0.4777777777777778</v>
      </c>
      <c r="N129" s="3">
        <f t="shared" si="8"/>
        <v>55171.388888888891</v>
      </c>
      <c r="O129" s="3">
        <f t="shared" si="9"/>
        <v>60303.611111111109</v>
      </c>
    </row>
    <row r="130" spans="1:15" x14ac:dyDescent="0.25">
      <c r="A130" s="15" t="s">
        <v>849</v>
      </c>
      <c r="B130" s="5" t="s">
        <v>2126</v>
      </c>
      <c r="C130" s="5">
        <v>375</v>
      </c>
      <c r="D130" s="5">
        <v>43.300000000000004</v>
      </c>
      <c r="E130" s="7">
        <f>VLOOKUP(C130,'Taux unitaires'!E:F,2,FALSE)</f>
        <v>1650</v>
      </c>
      <c r="F130" s="6">
        <f t="shared" si="10"/>
        <v>71445</v>
      </c>
      <c r="G130" s="5">
        <f>VLOOKUP(B130,'Durée de vie utile'!$C$1:$E$6,3,FALSE)</f>
        <v>125</v>
      </c>
      <c r="H130" s="5">
        <f>VLOOKUP(B130,'Durée de vie utile'!$C$1:$E$6,2,FALSE)</f>
        <v>80</v>
      </c>
      <c r="I130" s="6">
        <f t="shared" si="11"/>
        <v>893.0625</v>
      </c>
      <c r="J130" s="6">
        <f>(F130/(1+'Autres hypothèses'!$D$5))*('Autres hypothèses'!$D$5/(((1+'Autres hypothèses'!$D$5)^'Conduite princ. - égout pluvial'!H130-1)))</f>
        <v>581.38192703381299</v>
      </c>
      <c r="K130" s="5">
        <v>1987</v>
      </c>
      <c r="L130" s="5">
        <f t="shared" ref="L130:L193" si="12">2022-K130</f>
        <v>35</v>
      </c>
      <c r="M130" s="1">
        <f t="shared" ref="M130:M193" si="13">L130/H130</f>
        <v>0.4375</v>
      </c>
      <c r="N130" s="3">
        <f t="shared" ref="N130:N193" si="14">M130*F130</f>
        <v>31257.1875</v>
      </c>
      <c r="O130" s="3">
        <f t="shared" ref="O130:O193" si="15">F130-N130</f>
        <v>40187.8125</v>
      </c>
    </row>
    <row r="131" spans="1:15" x14ac:dyDescent="0.25">
      <c r="A131" s="15" t="s">
        <v>850</v>
      </c>
      <c r="B131" s="5" t="s">
        <v>2127</v>
      </c>
      <c r="C131" s="5">
        <v>200</v>
      </c>
      <c r="D131" s="5">
        <v>88.8</v>
      </c>
      <c r="E131" s="7">
        <f>VLOOKUP(C131,'Taux unitaires'!E:F,2,FALSE)</f>
        <v>1550</v>
      </c>
      <c r="F131" s="6">
        <f t="shared" ref="F131:F194" si="16">D131*E131</f>
        <v>137640</v>
      </c>
      <c r="G131" s="5">
        <f>VLOOKUP(B131,'Durée de vie utile'!$C$1:$E$6,3,FALSE)</f>
        <v>125</v>
      </c>
      <c r="H131" s="5">
        <f>VLOOKUP(B131,'Durée de vie utile'!$C$1:$E$6,2,FALSE)</f>
        <v>90</v>
      </c>
      <c r="I131" s="6">
        <f t="shared" ref="I131:I194" si="17">F131/H131</f>
        <v>1529.3333333333333</v>
      </c>
      <c r="J131" s="6">
        <f>(F131/(1+'Autres hypothèses'!$D$5))*('Autres hypothèses'!$D$5/(((1+'Autres hypothèses'!$D$5)^'Conduite princ. - égout pluvial'!H131-1)))</f>
        <v>940.73004225063858</v>
      </c>
      <c r="K131" s="5">
        <v>1988</v>
      </c>
      <c r="L131" s="5">
        <f t="shared" si="12"/>
        <v>34</v>
      </c>
      <c r="M131" s="1">
        <f t="shared" si="13"/>
        <v>0.37777777777777777</v>
      </c>
      <c r="N131" s="3">
        <f t="shared" si="14"/>
        <v>51997.333333333328</v>
      </c>
      <c r="O131" s="3">
        <f t="shared" si="15"/>
        <v>85642.666666666672</v>
      </c>
    </row>
    <row r="132" spans="1:15" x14ac:dyDescent="0.25">
      <c r="A132" s="15" t="s">
        <v>851</v>
      </c>
      <c r="B132" s="5" t="s">
        <v>2128</v>
      </c>
      <c r="C132" s="5">
        <v>450</v>
      </c>
      <c r="D132" s="5">
        <v>93.8</v>
      </c>
      <c r="E132" s="7">
        <f>VLOOKUP(C132,'Taux unitaires'!E:F,2,FALSE)</f>
        <v>1700</v>
      </c>
      <c r="F132" s="6">
        <f t="shared" si="16"/>
        <v>159460</v>
      </c>
      <c r="G132" s="5">
        <f>VLOOKUP(B132,'Durée de vie utile'!$C$1:$E$6,3,FALSE)</f>
        <v>125</v>
      </c>
      <c r="H132" s="5">
        <f>VLOOKUP(B132,'Durée de vie utile'!$C$1:$E$6,2,FALSE)</f>
        <v>80</v>
      </c>
      <c r="I132" s="6">
        <f t="shared" si="17"/>
        <v>1993.25</v>
      </c>
      <c r="J132" s="6">
        <f>(F132/(1+'Autres hypothèses'!$D$5))*('Autres hypothèses'!$D$5/(((1+'Autres hypothèses'!$D$5)^'Conduite princ. - égout pluvial'!H132-1)))</f>
        <v>1297.6018207685884</v>
      </c>
      <c r="K132" s="5">
        <v>1988</v>
      </c>
      <c r="L132" s="5">
        <f t="shared" si="12"/>
        <v>34</v>
      </c>
      <c r="M132" s="1">
        <f t="shared" si="13"/>
        <v>0.42499999999999999</v>
      </c>
      <c r="N132" s="3">
        <f t="shared" si="14"/>
        <v>67770.5</v>
      </c>
      <c r="O132" s="3">
        <f t="shared" si="15"/>
        <v>91689.5</v>
      </c>
    </row>
    <row r="133" spans="1:15" x14ac:dyDescent="0.25">
      <c r="A133" s="15" t="s">
        <v>852</v>
      </c>
      <c r="B133" s="5" t="s">
        <v>2129</v>
      </c>
      <c r="C133" s="5">
        <v>200</v>
      </c>
      <c r="D133" s="5">
        <v>25</v>
      </c>
      <c r="E133" s="7">
        <f>VLOOKUP(C133,'Taux unitaires'!E:F,2,FALSE)</f>
        <v>1550</v>
      </c>
      <c r="F133" s="6">
        <f t="shared" si="16"/>
        <v>38750</v>
      </c>
      <c r="G133" s="5">
        <f>VLOOKUP(B133,'Durée de vie utile'!$C$1:$E$6,3,FALSE)</f>
        <v>100</v>
      </c>
      <c r="H133" s="5">
        <f>VLOOKUP(B133,'Durée de vie utile'!$C$1:$E$6,2,FALSE)</f>
        <v>70</v>
      </c>
      <c r="I133" s="6">
        <f t="shared" si="17"/>
        <v>553.57142857142856</v>
      </c>
      <c r="J133" s="6">
        <f>(F133/(1+'Autres hypothèses'!$D$5))*('Autres hypothèses'!$D$5/(((1+'Autres hypothèses'!$D$5)^'Conduite princ. - égout pluvial'!H133-1)))</f>
        <v>381.08594172246217</v>
      </c>
      <c r="K133" s="5">
        <v>1988</v>
      </c>
      <c r="L133" s="5">
        <f t="shared" si="12"/>
        <v>34</v>
      </c>
      <c r="M133" s="1">
        <f t="shared" si="13"/>
        <v>0.48571428571428571</v>
      </c>
      <c r="N133" s="3">
        <f t="shared" si="14"/>
        <v>18821.428571428572</v>
      </c>
      <c r="O133" s="3">
        <f t="shared" si="15"/>
        <v>19928.571428571428</v>
      </c>
    </row>
    <row r="134" spans="1:15" x14ac:dyDescent="0.25">
      <c r="A134" s="15" t="s">
        <v>853</v>
      </c>
      <c r="B134" s="5" t="s">
        <v>2130</v>
      </c>
      <c r="C134" s="5">
        <v>250</v>
      </c>
      <c r="D134" s="5">
        <v>29.6</v>
      </c>
      <c r="E134" s="7">
        <f>VLOOKUP(C134,'Taux unitaires'!E:F,2,FALSE)</f>
        <v>1600</v>
      </c>
      <c r="F134" s="6">
        <f t="shared" si="16"/>
        <v>47360</v>
      </c>
      <c r="G134" s="5">
        <f>VLOOKUP(B134,'Durée de vie utile'!$C$1:$E$6,3,FALSE)</f>
        <v>100</v>
      </c>
      <c r="H134" s="5">
        <f>VLOOKUP(B134,'Durée de vie utile'!$C$1:$E$6,2,FALSE)</f>
        <v>70</v>
      </c>
      <c r="I134" s="6">
        <f t="shared" si="17"/>
        <v>676.57142857142856</v>
      </c>
      <c r="J134" s="6">
        <f>(F134/(1+'Autres hypothèses'!$D$5))*('Autres hypothèses'!$D$5/(((1+'Autres hypothèses'!$D$5)^'Conduite princ. - égout pluvial'!H134-1)))</f>
        <v>465.76077935421443</v>
      </c>
      <c r="K134" s="5">
        <v>1988</v>
      </c>
      <c r="L134" s="5">
        <f t="shared" si="12"/>
        <v>34</v>
      </c>
      <c r="M134" s="1">
        <f t="shared" si="13"/>
        <v>0.48571428571428571</v>
      </c>
      <c r="N134" s="3">
        <f t="shared" si="14"/>
        <v>23003.428571428572</v>
      </c>
      <c r="O134" s="3">
        <f t="shared" si="15"/>
        <v>24356.571428571428</v>
      </c>
    </row>
    <row r="135" spans="1:15" x14ac:dyDescent="0.25">
      <c r="A135" s="15" t="s">
        <v>854</v>
      </c>
      <c r="B135" s="5" t="s">
        <v>2131</v>
      </c>
      <c r="C135" s="5">
        <v>250</v>
      </c>
      <c r="D135" s="5">
        <v>40</v>
      </c>
      <c r="E135" s="7">
        <f>VLOOKUP(C135,'Taux unitaires'!E:F,2,FALSE)</f>
        <v>1600</v>
      </c>
      <c r="F135" s="6">
        <f t="shared" si="16"/>
        <v>64000</v>
      </c>
      <c r="G135" s="5">
        <f>VLOOKUP(B135,'Durée de vie utile'!$C$1:$E$6,3,FALSE)</f>
        <v>125</v>
      </c>
      <c r="H135" s="5">
        <f>VLOOKUP(B135,'Durée de vie utile'!$C$1:$E$6,2,FALSE)</f>
        <v>80</v>
      </c>
      <c r="I135" s="6">
        <f t="shared" si="17"/>
        <v>800</v>
      </c>
      <c r="J135" s="6">
        <f>(F135/(1+'Autres hypothèses'!$D$5))*('Autres hypothèses'!$D$5/(((1+'Autres hypothèses'!$D$5)^'Conduite princ. - égout pluvial'!H135-1)))</f>
        <v>520.79842298500978</v>
      </c>
      <c r="K135" s="5">
        <v>1983</v>
      </c>
      <c r="L135" s="5">
        <f t="shared" si="12"/>
        <v>39</v>
      </c>
      <c r="M135" s="1">
        <f t="shared" si="13"/>
        <v>0.48749999999999999</v>
      </c>
      <c r="N135" s="3">
        <f t="shared" si="14"/>
        <v>31200</v>
      </c>
      <c r="O135" s="3">
        <f t="shared" si="15"/>
        <v>32800</v>
      </c>
    </row>
    <row r="136" spans="1:15" x14ac:dyDescent="0.25">
      <c r="A136" s="15" t="s">
        <v>855</v>
      </c>
      <c r="B136" s="5" t="s">
        <v>2132</v>
      </c>
      <c r="C136" s="5">
        <v>250</v>
      </c>
      <c r="D136" s="5">
        <v>94.6</v>
      </c>
      <c r="E136" s="7">
        <f>VLOOKUP(C136,'Taux unitaires'!E:F,2,FALSE)</f>
        <v>1600</v>
      </c>
      <c r="F136" s="6">
        <f t="shared" si="16"/>
        <v>151360</v>
      </c>
      <c r="G136" s="5">
        <f>VLOOKUP(B136,'Durée de vie utile'!$C$1:$E$6,3,FALSE)</f>
        <v>125</v>
      </c>
      <c r="H136" s="5">
        <f>VLOOKUP(B136,'Durée de vie utile'!$C$1:$E$6,2,FALSE)</f>
        <v>80</v>
      </c>
      <c r="I136" s="6">
        <f t="shared" si="17"/>
        <v>1892</v>
      </c>
      <c r="J136" s="6">
        <f>(F136/(1+'Autres hypothèses'!$D$5))*('Autres hypothèses'!$D$5/(((1+'Autres hypothèses'!$D$5)^'Conduite princ. - égout pluvial'!H136-1)))</f>
        <v>1231.6882703595481</v>
      </c>
      <c r="K136" s="5">
        <v>1988</v>
      </c>
      <c r="L136" s="5">
        <f t="shared" si="12"/>
        <v>34</v>
      </c>
      <c r="M136" s="1">
        <f t="shared" si="13"/>
        <v>0.42499999999999999</v>
      </c>
      <c r="N136" s="3">
        <f t="shared" si="14"/>
        <v>64328</v>
      </c>
      <c r="O136" s="3">
        <f t="shared" si="15"/>
        <v>87032</v>
      </c>
    </row>
    <row r="137" spans="1:15" x14ac:dyDescent="0.25">
      <c r="A137" s="15" t="s">
        <v>856</v>
      </c>
      <c r="B137" s="5" t="s">
        <v>2133</v>
      </c>
      <c r="C137" s="5">
        <v>300</v>
      </c>
      <c r="D137" s="5">
        <v>57.5</v>
      </c>
      <c r="E137" s="7">
        <f>VLOOKUP(C137,'Taux unitaires'!E:F,2,FALSE)</f>
        <v>1650</v>
      </c>
      <c r="F137" s="6">
        <f t="shared" si="16"/>
        <v>94875</v>
      </c>
      <c r="G137" s="5">
        <f>VLOOKUP(B137,'Durée de vie utile'!$C$1:$E$6,3,FALSE)</f>
        <v>125</v>
      </c>
      <c r="H137" s="5">
        <f>VLOOKUP(B137,'Durée de vie utile'!$C$1:$E$6,2,FALSE)</f>
        <v>80</v>
      </c>
      <c r="I137" s="6">
        <f t="shared" si="17"/>
        <v>1185.9375</v>
      </c>
      <c r="J137" s="6">
        <f>(F137/(1+'Autres hypothèses'!$D$5))*('Autres hypothèses'!$D$5/(((1+'Autres hypothèses'!$D$5)^'Conduite princ. - égout pluvial'!H137-1)))</f>
        <v>772.04297469848132</v>
      </c>
      <c r="K137" s="5">
        <v>1988</v>
      </c>
      <c r="L137" s="5">
        <f t="shared" si="12"/>
        <v>34</v>
      </c>
      <c r="M137" s="1">
        <f t="shared" si="13"/>
        <v>0.42499999999999999</v>
      </c>
      <c r="N137" s="3">
        <f t="shared" si="14"/>
        <v>40321.875</v>
      </c>
      <c r="O137" s="3">
        <f t="shared" si="15"/>
        <v>54553.125</v>
      </c>
    </row>
    <row r="138" spans="1:15" x14ac:dyDescent="0.25">
      <c r="A138" s="15" t="s">
        <v>857</v>
      </c>
      <c r="B138" s="5" t="s">
        <v>2134</v>
      </c>
      <c r="C138" s="5">
        <v>200</v>
      </c>
      <c r="D138" s="5">
        <v>89.8</v>
      </c>
      <c r="E138" s="7">
        <f>VLOOKUP(C138,'Taux unitaires'!E:F,2,FALSE)</f>
        <v>1550</v>
      </c>
      <c r="F138" s="6">
        <f t="shared" si="16"/>
        <v>139190</v>
      </c>
      <c r="G138" s="5">
        <f>VLOOKUP(B138,'Durée de vie utile'!$C$1:$E$6,3,FALSE)</f>
        <v>100</v>
      </c>
      <c r="H138" s="5">
        <f>VLOOKUP(B138,'Durée de vie utile'!$C$1:$E$6,2,FALSE)</f>
        <v>70</v>
      </c>
      <c r="I138" s="6">
        <f t="shared" si="17"/>
        <v>1988.4285714285713</v>
      </c>
      <c r="J138" s="6">
        <f>(F138/(1+'Autres hypothèses'!$D$5))*('Autres hypothèses'!$D$5/(((1+'Autres hypothèses'!$D$5)^'Conduite princ. - égout pluvial'!H138-1)))</f>
        <v>1368.8607026670841</v>
      </c>
      <c r="K138" s="5">
        <v>1989</v>
      </c>
      <c r="L138" s="5">
        <f t="shared" si="12"/>
        <v>33</v>
      </c>
      <c r="M138" s="1">
        <f t="shared" si="13"/>
        <v>0.47142857142857142</v>
      </c>
      <c r="N138" s="3">
        <f t="shared" si="14"/>
        <v>65618.142857142855</v>
      </c>
      <c r="O138" s="3">
        <f t="shared" si="15"/>
        <v>73571.857142857145</v>
      </c>
    </row>
    <row r="139" spans="1:15" x14ac:dyDescent="0.25">
      <c r="A139" s="15" t="s">
        <v>858</v>
      </c>
      <c r="B139" s="5" t="s">
        <v>2135</v>
      </c>
      <c r="C139" s="5">
        <v>300</v>
      </c>
      <c r="D139" s="5">
        <v>6.6999999999999993</v>
      </c>
      <c r="E139" s="7">
        <f>VLOOKUP(C139,'Taux unitaires'!E:F,2,FALSE)</f>
        <v>1650</v>
      </c>
      <c r="F139" s="6">
        <f t="shared" si="16"/>
        <v>11054.999999999998</v>
      </c>
      <c r="G139" s="5">
        <f>VLOOKUP(B139,'Durée de vie utile'!$C$1:$E$6,3,FALSE)</f>
        <v>125</v>
      </c>
      <c r="H139" s="5">
        <f>VLOOKUP(B139,'Durée de vie utile'!$C$1:$E$6,2,FALSE)</f>
        <v>90</v>
      </c>
      <c r="I139" s="6">
        <f t="shared" si="17"/>
        <v>122.83333333333331</v>
      </c>
      <c r="J139" s="6">
        <f>(F139/(1+'Autres hypothèses'!$D$5))*('Autres hypothèses'!$D$5/(((1+'Autres hypothèses'!$D$5)^'Conduite princ. - égout pluvial'!H139-1)))</f>
        <v>75.55776385557111</v>
      </c>
      <c r="K139" s="5">
        <v>1983</v>
      </c>
      <c r="L139" s="5">
        <f t="shared" si="12"/>
        <v>39</v>
      </c>
      <c r="M139" s="1">
        <f t="shared" si="13"/>
        <v>0.43333333333333335</v>
      </c>
      <c r="N139" s="3">
        <f t="shared" si="14"/>
        <v>4790.4999999999991</v>
      </c>
      <c r="O139" s="3">
        <f t="shared" si="15"/>
        <v>6264.4999999999991</v>
      </c>
    </row>
    <row r="140" spans="1:15" x14ac:dyDescent="0.25">
      <c r="A140" s="15" t="s">
        <v>859</v>
      </c>
      <c r="B140" s="5" t="s">
        <v>2136</v>
      </c>
      <c r="C140" s="5">
        <v>300</v>
      </c>
      <c r="D140" s="5">
        <v>86.699999999999989</v>
      </c>
      <c r="E140" s="7">
        <f>VLOOKUP(C140,'Taux unitaires'!E:F,2,FALSE)</f>
        <v>1650</v>
      </c>
      <c r="F140" s="6">
        <f t="shared" si="16"/>
        <v>143054.99999999997</v>
      </c>
      <c r="G140" s="5">
        <f>VLOOKUP(B140,'Durée de vie utile'!$C$1:$E$6,3,FALSE)</f>
        <v>125</v>
      </c>
      <c r="H140" s="5">
        <f>VLOOKUP(B140,'Durée de vie utile'!$C$1:$E$6,2,FALSE)</f>
        <v>80</v>
      </c>
      <c r="I140" s="6">
        <f t="shared" si="17"/>
        <v>1788.1874999999995</v>
      </c>
      <c r="J140" s="6">
        <f>(F140/(1+'Autres hypothèses'!$D$5))*('Autres hypothèses'!$D$5/(((1+'Autres hypothèses'!$D$5)^'Conduite princ. - égout pluvial'!H140-1)))</f>
        <v>1164.1065375018838</v>
      </c>
      <c r="K140" s="5">
        <v>1983</v>
      </c>
      <c r="L140" s="5">
        <f t="shared" si="12"/>
        <v>39</v>
      </c>
      <c r="M140" s="1">
        <f t="shared" si="13"/>
        <v>0.48749999999999999</v>
      </c>
      <c r="N140" s="3">
        <f t="shared" si="14"/>
        <v>69739.312499999985</v>
      </c>
      <c r="O140" s="3">
        <f t="shared" si="15"/>
        <v>73315.687499999985</v>
      </c>
    </row>
    <row r="141" spans="1:15" x14ac:dyDescent="0.25">
      <c r="A141" s="15" t="s">
        <v>860</v>
      </c>
      <c r="B141" s="5" t="s">
        <v>2137</v>
      </c>
      <c r="C141" s="5">
        <v>375</v>
      </c>
      <c r="D141" s="5">
        <v>52.300000000000004</v>
      </c>
      <c r="E141" s="7">
        <f>VLOOKUP(C141,'Taux unitaires'!E:F,2,FALSE)</f>
        <v>1650</v>
      </c>
      <c r="F141" s="6">
        <f t="shared" si="16"/>
        <v>86295</v>
      </c>
      <c r="G141" s="5">
        <f>VLOOKUP(B141,'Durée de vie utile'!$C$1:$E$6,3,FALSE)</f>
        <v>100</v>
      </c>
      <c r="H141" s="5">
        <f>VLOOKUP(B141,'Durée de vie utile'!$C$1:$E$6,2,FALSE)</f>
        <v>70</v>
      </c>
      <c r="I141" s="6">
        <f t="shared" si="17"/>
        <v>1232.7857142857142</v>
      </c>
      <c r="J141" s="6">
        <f>(F141/(1+'Autres hypothèses'!$D$5))*('Autres hypothèses'!$D$5/(((1+'Autres hypothèses'!$D$5)^'Conduite princ. - égout pluvial'!H141-1)))</f>
        <v>848.66609912102899</v>
      </c>
      <c r="K141" s="5">
        <v>1983</v>
      </c>
      <c r="L141" s="5">
        <f t="shared" si="12"/>
        <v>39</v>
      </c>
      <c r="M141" s="1">
        <f t="shared" si="13"/>
        <v>0.55714285714285716</v>
      </c>
      <c r="N141" s="3">
        <f t="shared" si="14"/>
        <v>48078.642857142862</v>
      </c>
      <c r="O141" s="3">
        <f t="shared" si="15"/>
        <v>38216.357142857138</v>
      </c>
    </row>
    <row r="142" spans="1:15" x14ac:dyDescent="0.25">
      <c r="A142" s="15" t="s">
        <v>861</v>
      </c>
      <c r="B142" s="5" t="s">
        <v>2138</v>
      </c>
      <c r="C142" s="5">
        <v>250</v>
      </c>
      <c r="D142" s="5">
        <v>17.200000000000003</v>
      </c>
      <c r="E142" s="7">
        <f>VLOOKUP(C142,'Taux unitaires'!E:F,2,FALSE)</f>
        <v>1600</v>
      </c>
      <c r="F142" s="6">
        <f t="shared" si="16"/>
        <v>27520.000000000004</v>
      </c>
      <c r="G142" s="5">
        <f>VLOOKUP(B142,'Durée de vie utile'!$C$1:$E$6,3,FALSE)</f>
        <v>100</v>
      </c>
      <c r="H142" s="5">
        <f>VLOOKUP(B142,'Durée de vie utile'!$C$1:$E$6,2,FALSE)</f>
        <v>80</v>
      </c>
      <c r="I142" s="6">
        <f t="shared" si="17"/>
        <v>344.00000000000006</v>
      </c>
      <c r="J142" s="6">
        <f>(F142/(1+'Autres hypothèses'!$D$5))*('Autres hypothèses'!$D$5/(((1+'Autres hypothèses'!$D$5)^'Conduite princ. - égout pluvial'!H142-1)))</f>
        <v>223.94332188355426</v>
      </c>
      <c r="K142" s="5">
        <v>1983</v>
      </c>
      <c r="L142" s="5">
        <f t="shared" si="12"/>
        <v>39</v>
      </c>
      <c r="M142" s="1">
        <f t="shared" si="13"/>
        <v>0.48749999999999999</v>
      </c>
      <c r="N142" s="3">
        <f t="shared" si="14"/>
        <v>13416.000000000002</v>
      </c>
      <c r="O142" s="3">
        <f t="shared" si="15"/>
        <v>14104.000000000002</v>
      </c>
    </row>
    <row r="143" spans="1:15" x14ac:dyDescent="0.25">
      <c r="A143" s="15" t="s">
        <v>862</v>
      </c>
      <c r="B143" s="5" t="s">
        <v>2139</v>
      </c>
      <c r="C143" s="5">
        <v>250</v>
      </c>
      <c r="D143" s="5">
        <v>48.1</v>
      </c>
      <c r="E143" s="7">
        <f>VLOOKUP(C143,'Taux unitaires'!E:F,2,FALSE)</f>
        <v>1600</v>
      </c>
      <c r="F143" s="6">
        <f t="shared" si="16"/>
        <v>76960</v>
      </c>
      <c r="G143" s="5">
        <f>VLOOKUP(B143,'Durée de vie utile'!$C$1:$E$6,3,FALSE)</f>
        <v>125</v>
      </c>
      <c r="H143" s="5">
        <f>VLOOKUP(B143,'Durée de vie utile'!$C$1:$E$6,2,FALSE)</f>
        <v>80</v>
      </c>
      <c r="I143" s="6">
        <f t="shared" si="17"/>
        <v>962</v>
      </c>
      <c r="J143" s="6">
        <f>(F143/(1+'Autres hypothèses'!$D$5))*('Autres hypothèses'!$D$5/(((1+'Autres hypothèses'!$D$5)^'Conduite princ. - égout pluvial'!H143-1)))</f>
        <v>626.26010363947421</v>
      </c>
      <c r="K143" s="5">
        <v>1990</v>
      </c>
      <c r="L143" s="5">
        <f t="shared" si="12"/>
        <v>32</v>
      </c>
      <c r="M143" s="1">
        <f t="shared" si="13"/>
        <v>0.4</v>
      </c>
      <c r="N143" s="3">
        <f t="shared" si="14"/>
        <v>30784</v>
      </c>
      <c r="O143" s="3">
        <f t="shared" si="15"/>
        <v>46176</v>
      </c>
    </row>
    <row r="144" spans="1:15" x14ac:dyDescent="0.25">
      <c r="A144" s="15" t="s">
        <v>863</v>
      </c>
      <c r="B144" s="5" t="s">
        <v>2140</v>
      </c>
      <c r="C144" s="5">
        <v>250</v>
      </c>
      <c r="D144" s="5">
        <v>86.8</v>
      </c>
      <c r="E144" s="7">
        <f>VLOOKUP(C144,'Taux unitaires'!E:F,2,FALSE)</f>
        <v>1600</v>
      </c>
      <c r="F144" s="6">
        <f t="shared" si="16"/>
        <v>138880</v>
      </c>
      <c r="G144" s="5">
        <f>VLOOKUP(B144,'Durée de vie utile'!$C$1:$E$6,3,FALSE)</f>
        <v>125</v>
      </c>
      <c r="H144" s="5">
        <f>VLOOKUP(B144,'Durée de vie utile'!$C$1:$E$6,2,FALSE)</f>
        <v>90</v>
      </c>
      <c r="I144" s="6">
        <f t="shared" si="17"/>
        <v>1543.1111111111111</v>
      </c>
      <c r="J144" s="6">
        <f>(F144/(1+'Autres hypothèses'!$D$5))*('Autres hypothèses'!$D$5/(((1+'Autres hypothèses'!$D$5)^'Conduite princ. - égout pluvial'!H144-1)))</f>
        <v>949.20508767631998</v>
      </c>
      <c r="K144" s="5">
        <v>1990</v>
      </c>
      <c r="L144" s="5">
        <f t="shared" si="12"/>
        <v>32</v>
      </c>
      <c r="M144" s="1">
        <f t="shared" si="13"/>
        <v>0.35555555555555557</v>
      </c>
      <c r="N144" s="3">
        <f t="shared" si="14"/>
        <v>49379.555555555555</v>
      </c>
      <c r="O144" s="3">
        <f t="shared" si="15"/>
        <v>89500.444444444438</v>
      </c>
    </row>
    <row r="145" spans="1:15" x14ac:dyDescent="0.25">
      <c r="A145" s="15" t="s">
        <v>864</v>
      </c>
      <c r="B145" s="5" t="s">
        <v>2141</v>
      </c>
      <c r="C145" s="5">
        <v>250</v>
      </c>
      <c r="D145" s="5">
        <v>67.099999999999994</v>
      </c>
      <c r="E145" s="7">
        <f>VLOOKUP(C145,'Taux unitaires'!E:F,2,FALSE)</f>
        <v>1600</v>
      </c>
      <c r="F145" s="6">
        <f t="shared" si="16"/>
        <v>107359.99999999999</v>
      </c>
      <c r="G145" s="5">
        <f>VLOOKUP(B145,'Durée de vie utile'!$C$1:$E$6,3,FALSE)</f>
        <v>100</v>
      </c>
      <c r="H145" s="5">
        <f>VLOOKUP(B145,'Durée de vie utile'!$C$1:$E$6,2,FALSE)</f>
        <v>70</v>
      </c>
      <c r="I145" s="6">
        <f t="shared" si="17"/>
        <v>1533.7142857142856</v>
      </c>
      <c r="J145" s="6">
        <f>(F145/(1+'Autres hypothèses'!$D$5))*('Autres hypothèses'!$D$5/(((1+'Autres hypothèses'!$D$5)^'Conduite princ. - égout pluvial'!H145-1)))</f>
        <v>1055.829334279317</v>
      </c>
      <c r="K145" s="5">
        <v>1990</v>
      </c>
      <c r="L145" s="5">
        <f t="shared" si="12"/>
        <v>32</v>
      </c>
      <c r="M145" s="1">
        <f t="shared" si="13"/>
        <v>0.45714285714285713</v>
      </c>
      <c r="N145" s="3">
        <f t="shared" si="14"/>
        <v>49078.857142857138</v>
      </c>
      <c r="O145" s="3">
        <f t="shared" si="15"/>
        <v>58281.142857142848</v>
      </c>
    </row>
    <row r="146" spans="1:15" x14ac:dyDescent="0.25">
      <c r="A146" s="15" t="s">
        <v>865</v>
      </c>
      <c r="B146" s="5" t="s">
        <v>2142</v>
      </c>
      <c r="C146" s="5">
        <v>450</v>
      </c>
      <c r="D146" s="5">
        <v>93</v>
      </c>
      <c r="E146" s="7">
        <f>VLOOKUP(C146,'Taux unitaires'!E:F,2,FALSE)</f>
        <v>1700</v>
      </c>
      <c r="F146" s="6">
        <f t="shared" si="16"/>
        <v>158100</v>
      </c>
      <c r="G146" s="5">
        <f>VLOOKUP(B146,'Durée de vie utile'!$C$1:$E$6,3,FALSE)</f>
        <v>125</v>
      </c>
      <c r="H146" s="5">
        <f>VLOOKUP(B146,'Durée de vie utile'!$C$1:$E$6,2,FALSE)</f>
        <v>80</v>
      </c>
      <c r="I146" s="6">
        <f t="shared" si="17"/>
        <v>1976.25</v>
      </c>
      <c r="J146" s="6">
        <f>(F146/(1+'Autres hypothèses'!$D$5))*('Autres hypothèses'!$D$5/(((1+'Autres hypothèses'!$D$5)^'Conduite princ. - égout pluvial'!H146-1)))</f>
        <v>1286.5348542801569</v>
      </c>
      <c r="K146" s="5">
        <v>1990</v>
      </c>
      <c r="L146" s="5">
        <f t="shared" si="12"/>
        <v>32</v>
      </c>
      <c r="M146" s="1">
        <f t="shared" si="13"/>
        <v>0.4</v>
      </c>
      <c r="N146" s="3">
        <f t="shared" si="14"/>
        <v>63240</v>
      </c>
      <c r="O146" s="3">
        <f t="shared" si="15"/>
        <v>94860</v>
      </c>
    </row>
    <row r="147" spans="1:15" x14ac:dyDescent="0.25">
      <c r="A147" s="15" t="s">
        <v>866</v>
      </c>
      <c r="B147" s="5" t="s">
        <v>2143</v>
      </c>
      <c r="C147" s="5">
        <v>450</v>
      </c>
      <c r="D147" s="5">
        <v>87.899999999999991</v>
      </c>
      <c r="E147" s="7">
        <f>VLOOKUP(C147,'Taux unitaires'!E:F,2,FALSE)</f>
        <v>1700</v>
      </c>
      <c r="F147" s="6">
        <f t="shared" si="16"/>
        <v>149430</v>
      </c>
      <c r="G147" s="5">
        <f>VLOOKUP(B147,'Durée de vie utile'!$C$1:$E$6,3,FALSE)</f>
        <v>100</v>
      </c>
      <c r="H147" s="5">
        <f>VLOOKUP(B147,'Durée de vie utile'!$C$1:$E$6,2,FALSE)</f>
        <v>70</v>
      </c>
      <c r="I147" s="6">
        <f t="shared" si="17"/>
        <v>2134.7142857142858</v>
      </c>
      <c r="J147" s="6">
        <f>(F147/(1+'Autres hypothèses'!$D$5))*('Autres hypothèses'!$D$5/(((1+'Autres hypothèses'!$D$5)^'Conduite princ. - égout pluvial'!H147-1)))</f>
        <v>1469.5657360409682</v>
      </c>
      <c r="K147" s="5">
        <v>1988</v>
      </c>
      <c r="L147" s="5">
        <f t="shared" si="12"/>
        <v>34</v>
      </c>
      <c r="M147" s="1">
        <f t="shared" si="13"/>
        <v>0.48571428571428571</v>
      </c>
      <c r="N147" s="3">
        <f t="shared" si="14"/>
        <v>72580.28571428571</v>
      </c>
      <c r="O147" s="3">
        <f t="shared" si="15"/>
        <v>76849.71428571429</v>
      </c>
    </row>
    <row r="148" spans="1:15" x14ac:dyDescent="0.25">
      <c r="A148" s="15" t="s">
        <v>867</v>
      </c>
      <c r="B148" s="5" t="s">
        <v>2144</v>
      </c>
      <c r="C148" s="5">
        <v>200</v>
      </c>
      <c r="D148" s="5">
        <v>78</v>
      </c>
      <c r="E148" s="7">
        <f>VLOOKUP(C148,'Taux unitaires'!E:F,2,FALSE)</f>
        <v>1550</v>
      </c>
      <c r="F148" s="6">
        <f t="shared" si="16"/>
        <v>120900</v>
      </c>
      <c r="G148" s="5">
        <f>VLOOKUP(B148,'Durée de vie utile'!$C$1:$E$6,3,FALSE)</f>
        <v>125</v>
      </c>
      <c r="H148" s="5">
        <f>VLOOKUP(B148,'Durée de vie utile'!$C$1:$E$6,2,FALSE)</f>
        <v>90</v>
      </c>
      <c r="I148" s="6">
        <f t="shared" si="17"/>
        <v>1343.3333333333333</v>
      </c>
      <c r="J148" s="6">
        <f>(F148/(1+'Autres hypothèses'!$D$5))*('Autres hypothèses'!$D$5/(((1+'Autres hypothèses'!$D$5)^'Conduite princ. - égout pluvial'!H148-1)))</f>
        <v>826.31692900393932</v>
      </c>
      <c r="K148" s="5">
        <v>1990</v>
      </c>
      <c r="L148" s="5">
        <f t="shared" si="12"/>
        <v>32</v>
      </c>
      <c r="M148" s="1">
        <f t="shared" si="13"/>
        <v>0.35555555555555557</v>
      </c>
      <c r="N148" s="3">
        <f t="shared" si="14"/>
        <v>42986.666666666672</v>
      </c>
      <c r="O148" s="3">
        <f t="shared" si="15"/>
        <v>77913.333333333328</v>
      </c>
    </row>
    <row r="149" spans="1:15" x14ac:dyDescent="0.25">
      <c r="A149" s="15" t="s">
        <v>868</v>
      </c>
      <c r="B149" s="5" t="s">
        <v>2145</v>
      </c>
      <c r="C149" s="5">
        <v>375</v>
      </c>
      <c r="D149" s="5">
        <v>47.7</v>
      </c>
      <c r="E149" s="7">
        <f>VLOOKUP(C149,'Taux unitaires'!E:F,2,FALSE)</f>
        <v>1650</v>
      </c>
      <c r="F149" s="6">
        <f t="shared" si="16"/>
        <v>78705</v>
      </c>
      <c r="G149" s="5">
        <f>VLOOKUP(B149,'Durée de vie utile'!$C$1:$E$6,3,FALSE)</f>
        <v>100</v>
      </c>
      <c r="H149" s="5">
        <f>VLOOKUP(B149,'Durée de vie utile'!$C$1:$E$6,2,FALSE)</f>
        <v>70</v>
      </c>
      <c r="I149" s="6">
        <f t="shared" si="17"/>
        <v>1124.3571428571429</v>
      </c>
      <c r="J149" s="6">
        <f>(F149/(1+'Autres hypothèses'!$D$5))*('Autres hypothèses'!$D$5/(((1+'Autres hypothèses'!$D$5)^'Conduite princ. - égout pluvial'!H149-1)))</f>
        <v>774.02242692300354</v>
      </c>
      <c r="K149" s="5">
        <v>1991</v>
      </c>
      <c r="L149" s="5">
        <f t="shared" si="12"/>
        <v>31</v>
      </c>
      <c r="M149" s="1">
        <f t="shared" si="13"/>
        <v>0.44285714285714284</v>
      </c>
      <c r="N149" s="3">
        <f t="shared" si="14"/>
        <v>34855.071428571428</v>
      </c>
      <c r="O149" s="3">
        <f t="shared" si="15"/>
        <v>43849.928571428572</v>
      </c>
    </row>
    <row r="150" spans="1:15" x14ac:dyDescent="0.25">
      <c r="A150" s="15" t="s">
        <v>869</v>
      </c>
      <c r="B150" s="5" t="s">
        <v>2146</v>
      </c>
      <c r="C150" s="5">
        <v>375</v>
      </c>
      <c r="D150" s="5">
        <v>69.599999999999994</v>
      </c>
      <c r="E150" s="7">
        <f>VLOOKUP(C150,'Taux unitaires'!E:F,2,FALSE)</f>
        <v>1650</v>
      </c>
      <c r="F150" s="6">
        <f t="shared" si="16"/>
        <v>114839.99999999999</v>
      </c>
      <c r="G150" s="5">
        <f>VLOOKUP(B150,'Durée de vie utile'!$C$1:$E$6,3,FALSE)</f>
        <v>100</v>
      </c>
      <c r="H150" s="5">
        <f>VLOOKUP(B150,'Durée de vie utile'!$C$1:$E$6,2,FALSE)</f>
        <v>70</v>
      </c>
      <c r="I150" s="6">
        <f t="shared" si="17"/>
        <v>1640.5714285714284</v>
      </c>
      <c r="J150" s="6">
        <f>(F150/(1+'Autres hypothèses'!$D$5))*('Autres hypothèses'!$D$5/(((1+'Autres hypothèses'!$D$5)^'Conduite princ. - égout pluvial'!H150-1)))</f>
        <v>1129.3912141266467</v>
      </c>
      <c r="K150" s="5">
        <v>1991</v>
      </c>
      <c r="L150" s="5">
        <f t="shared" si="12"/>
        <v>31</v>
      </c>
      <c r="M150" s="1">
        <f t="shared" si="13"/>
        <v>0.44285714285714284</v>
      </c>
      <c r="N150" s="3">
        <f t="shared" si="14"/>
        <v>50857.714285714275</v>
      </c>
      <c r="O150" s="3">
        <f t="shared" si="15"/>
        <v>63982.28571428571</v>
      </c>
    </row>
    <row r="151" spans="1:15" x14ac:dyDescent="0.25">
      <c r="A151" s="15" t="s">
        <v>870</v>
      </c>
      <c r="B151" s="5" t="s">
        <v>2147</v>
      </c>
      <c r="C151" s="5">
        <v>200</v>
      </c>
      <c r="D151" s="5">
        <v>91</v>
      </c>
      <c r="E151" s="7">
        <f>VLOOKUP(C151,'Taux unitaires'!E:F,2,FALSE)</f>
        <v>1550</v>
      </c>
      <c r="F151" s="6">
        <f t="shared" si="16"/>
        <v>141050</v>
      </c>
      <c r="G151" s="5">
        <f>VLOOKUP(B151,'Durée de vie utile'!$C$1:$E$6,3,FALSE)</f>
        <v>125</v>
      </c>
      <c r="H151" s="5">
        <f>VLOOKUP(B151,'Durée de vie utile'!$C$1:$E$6,2,FALSE)</f>
        <v>80</v>
      </c>
      <c r="I151" s="6">
        <f t="shared" si="17"/>
        <v>1763.125</v>
      </c>
      <c r="J151" s="6">
        <f>(F151/(1+'Autres hypothèses'!$D$5))*('Autres hypothèses'!$D$5/(((1+'Autres hypothèses'!$D$5)^'Conduite princ. - égout pluvial'!H151-1)))</f>
        <v>1147.7908994068068</v>
      </c>
      <c r="K151" s="5">
        <v>1991</v>
      </c>
      <c r="L151" s="5">
        <f t="shared" si="12"/>
        <v>31</v>
      </c>
      <c r="M151" s="1">
        <f t="shared" si="13"/>
        <v>0.38750000000000001</v>
      </c>
      <c r="N151" s="3">
        <f t="shared" si="14"/>
        <v>54656.875</v>
      </c>
      <c r="O151" s="3">
        <f t="shared" si="15"/>
        <v>86393.125</v>
      </c>
    </row>
    <row r="152" spans="1:15" x14ac:dyDescent="0.25">
      <c r="A152" s="15" t="s">
        <v>871</v>
      </c>
      <c r="B152" s="5" t="s">
        <v>2148</v>
      </c>
      <c r="C152" s="5">
        <v>200</v>
      </c>
      <c r="D152" s="5">
        <v>87.3</v>
      </c>
      <c r="E152" s="7">
        <f>VLOOKUP(C152,'Taux unitaires'!E:F,2,FALSE)</f>
        <v>1550</v>
      </c>
      <c r="F152" s="6">
        <f t="shared" si="16"/>
        <v>135315</v>
      </c>
      <c r="G152" s="5">
        <f>VLOOKUP(B152,'Durée de vie utile'!$C$1:$E$6,3,FALSE)</f>
        <v>100</v>
      </c>
      <c r="H152" s="5">
        <f>VLOOKUP(B152,'Durée de vie utile'!$C$1:$E$6,2,FALSE)</f>
        <v>70</v>
      </c>
      <c r="I152" s="6">
        <f t="shared" si="17"/>
        <v>1933.0714285714287</v>
      </c>
      <c r="J152" s="6">
        <f>(F152/(1+'Autres hypothèses'!$D$5))*('Autres hypothèses'!$D$5/(((1+'Autres hypothèses'!$D$5)^'Conduite princ. - égout pluvial'!H152-1)))</f>
        <v>1330.752108494838</v>
      </c>
      <c r="K152" s="5">
        <v>1991</v>
      </c>
      <c r="L152" s="5">
        <f t="shared" si="12"/>
        <v>31</v>
      </c>
      <c r="M152" s="1">
        <f t="shared" si="13"/>
        <v>0.44285714285714284</v>
      </c>
      <c r="N152" s="3">
        <f t="shared" si="14"/>
        <v>59925.214285714283</v>
      </c>
      <c r="O152" s="3">
        <f t="shared" si="15"/>
        <v>75389.78571428571</v>
      </c>
    </row>
    <row r="153" spans="1:15" x14ac:dyDescent="0.25">
      <c r="A153" s="15" t="s">
        <v>872</v>
      </c>
      <c r="B153" s="5" t="s">
        <v>2149</v>
      </c>
      <c r="C153" s="5">
        <v>200</v>
      </c>
      <c r="D153" s="5">
        <v>95.6</v>
      </c>
      <c r="E153" s="7">
        <f>VLOOKUP(C153,'Taux unitaires'!E:F,2,FALSE)</f>
        <v>1550</v>
      </c>
      <c r="F153" s="6">
        <f t="shared" si="16"/>
        <v>148180</v>
      </c>
      <c r="G153" s="5">
        <f>VLOOKUP(B153,'Durée de vie utile'!$C$1:$E$6,3,FALSE)</f>
        <v>125</v>
      </c>
      <c r="H153" s="5">
        <f>VLOOKUP(B153,'Durée de vie utile'!$C$1:$E$6,2,FALSE)</f>
        <v>90</v>
      </c>
      <c r="I153" s="6">
        <f t="shared" si="17"/>
        <v>1646.4444444444443</v>
      </c>
      <c r="J153" s="6">
        <f>(F153/(1+'Autres hypothèses'!$D$5))*('Autres hypothèses'!$D$5/(((1+'Autres hypothèses'!$D$5)^'Conduite princ. - égout pluvial'!H153-1)))</f>
        <v>1012.7679283689307</v>
      </c>
      <c r="K153" s="5">
        <v>1991</v>
      </c>
      <c r="L153" s="5">
        <f t="shared" si="12"/>
        <v>31</v>
      </c>
      <c r="M153" s="1">
        <f t="shared" si="13"/>
        <v>0.34444444444444444</v>
      </c>
      <c r="N153" s="3">
        <f t="shared" si="14"/>
        <v>51039.777777777781</v>
      </c>
      <c r="O153" s="3">
        <f t="shared" si="15"/>
        <v>97140.222222222219</v>
      </c>
    </row>
    <row r="154" spans="1:15" x14ac:dyDescent="0.25">
      <c r="A154" s="15" t="s">
        <v>873</v>
      </c>
      <c r="B154" s="5" t="s">
        <v>2150</v>
      </c>
      <c r="C154" s="5">
        <v>200</v>
      </c>
      <c r="D154" s="5">
        <v>31.900000000000002</v>
      </c>
      <c r="E154" s="7">
        <f>VLOOKUP(C154,'Taux unitaires'!E:F,2,FALSE)</f>
        <v>1550</v>
      </c>
      <c r="F154" s="6">
        <f t="shared" si="16"/>
        <v>49445</v>
      </c>
      <c r="G154" s="5">
        <f>VLOOKUP(B154,'Durée de vie utile'!$C$1:$E$6,3,FALSE)</f>
        <v>100</v>
      </c>
      <c r="H154" s="5">
        <f>VLOOKUP(B154,'Durée de vie utile'!$C$1:$E$6,2,FALSE)</f>
        <v>70</v>
      </c>
      <c r="I154" s="6">
        <f t="shared" si="17"/>
        <v>706.35714285714289</v>
      </c>
      <c r="J154" s="6">
        <f>(F154/(1+'Autres hypothèses'!$D$5))*('Autres hypothèses'!$D$5/(((1+'Autres hypothèses'!$D$5)^'Conduite princ. - égout pluvial'!H154-1)))</f>
        <v>486.26566163786174</v>
      </c>
      <c r="K154" s="5">
        <v>1992</v>
      </c>
      <c r="L154" s="5">
        <f t="shared" si="12"/>
        <v>30</v>
      </c>
      <c r="M154" s="1">
        <f t="shared" si="13"/>
        <v>0.42857142857142855</v>
      </c>
      <c r="N154" s="3">
        <f t="shared" si="14"/>
        <v>21190.714285714286</v>
      </c>
      <c r="O154" s="3">
        <f t="shared" si="15"/>
        <v>28254.285714285714</v>
      </c>
    </row>
    <row r="155" spans="1:15" x14ac:dyDescent="0.25">
      <c r="A155" s="15" t="s">
        <v>874</v>
      </c>
      <c r="B155" s="5" t="s">
        <v>2151</v>
      </c>
      <c r="C155" s="5">
        <v>750</v>
      </c>
      <c r="D155" s="5">
        <v>83.399999999999991</v>
      </c>
      <c r="E155" s="7">
        <f>VLOOKUP(C155,'Taux unitaires'!E:F,2,FALSE)</f>
        <v>1900</v>
      </c>
      <c r="F155" s="6">
        <f t="shared" si="16"/>
        <v>158459.99999999997</v>
      </c>
      <c r="G155" s="5">
        <f>VLOOKUP(B155,'Durée de vie utile'!$C$1:$E$6,3,FALSE)</f>
        <v>125</v>
      </c>
      <c r="H155" s="5">
        <f>VLOOKUP(B155,'Durée de vie utile'!$C$1:$E$6,2,FALSE)</f>
        <v>80</v>
      </c>
      <c r="I155" s="6">
        <f t="shared" si="17"/>
        <v>1980.7499999999995</v>
      </c>
      <c r="J155" s="6">
        <f>(F155/(1+'Autres hypothèses'!$D$5))*('Autres hypothèses'!$D$5/(((1+'Autres hypothèses'!$D$5)^'Conduite princ. - égout pluvial'!H155-1)))</f>
        <v>1289.4643454094473</v>
      </c>
      <c r="K155" s="5">
        <v>1991</v>
      </c>
      <c r="L155" s="5">
        <f t="shared" si="12"/>
        <v>31</v>
      </c>
      <c r="M155" s="1">
        <f t="shared" si="13"/>
        <v>0.38750000000000001</v>
      </c>
      <c r="N155" s="3">
        <f t="shared" si="14"/>
        <v>61403.249999999993</v>
      </c>
      <c r="O155" s="3">
        <f t="shared" si="15"/>
        <v>97056.749999999971</v>
      </c>
    </row>
    <row r="156" spans="1:15" x14ac:dyDescent="0.25">
      <c r="A156" s="15" t="s">
        <v>875</v>
      </c>
      <c r="B156" s="5" t="s">
        <v>2152</v>
      </c>
      <c r="C156" s="5">
        <v>300</v>
      </c>
      <c r="D156" s="5">
        <v>49.4</v>
      </c>
      <c r="E156" s="7">
        <f>VLOOKUP(C156,'Taux unitaires'!E:F,2,FALSE)</f>
        <v>1650</v>
      </c>
      <c r="F156" s="6">
        <f t="shared" si="16"/>
        <v>81510</v>
      </c>
      <c r="G156" s="5">
        <f>VLOOKUP(B156,'Durée de vie utile'!$C$1:$E$6,3,FALSE)</f>
        <v>125</v>
      </c>
      <c r="H156" s="5">
        <f>VLOOKUP(B156,'Durée de vie utile'!$C$1:$E$6,2,FALSE)</f>
        <v>90</v>
      </c>
      <c r="I156" s="6">
        <f t="shared" si="17"/>
        <v>905.66666666666663</v>
      </c>
      <c r="J156" s="6">
        <f>(F156/(1+'Autres hypothèses'!$D$5))*('Autres hypothèses'!$D$5/(((1+'Autres hypothèses'!$D$5)^'Conduite princ. - égout pluvial'!H156-1)))</f>
        <v>557.09754245749457</v>
      </c>
      <c r="K156" s="5">
        <v>1991</v>
      </c>
      <c r="L156" s="5">
        <f t="shared" si="12"/>
        <v>31</v>
      </c>
      <c r="M156" s="1">
        <f t="shared" si="13"/>
        <v>0.34444444444444444</v>
      </c>
      <c r="N156" s="3">
        <f t="shared" si="14"/>
        <v>28075.666666666668</v>
      </c>
      <c r="O156" s="3">
        <f t="shared" si="15"/>
        <v>53434.333333333328</v>
      </c>
    </row>
    <row r="157" spans="1:15" x14ac:dyDescent="0.25">
      <c r="A157" s="15" t="s">
        <v>876</v>
      </c>
      <c r="B157" s="5" t="s">
        <v>2153</v>
      </c>
      <c r="C157" s="5">
        <v>300</v>
      </c>
      <c r="D157" s="5">
        <v>91.699999999999989</v>
      </c>
      <c r="E157" s="7">
        <f>VLOOKUP(C157,'Taux unitaires'!E:F,2,FALSE)</f>
        <v>1650</v>
      </c>
      <c r="F157" s="6">
        <f t="shared" si="16"/>
        <v>151304.99999999997</v>
      </c>
      <c r="G157" s="5">
        <f>VLOOKUP(B157,'Durée de vie utile'!$C$1:$E$6,3,FALSE)</f>
        <v>100</v>
      </c>
      <c r="H157" s="5">
        <f>VLOOKUP(B157,'Durée de vie utile'!$C$1:$E$6,2,FALSE)</f>
        <v>70</v>
      </c>
      <c r="I157" s="6">
        <f t="shared" si="17"/>
        <v>2161.4999999999995</v>
      </c>
      <c r="J157" s="6">
        <f>(F157/(1+'Autres hypothèses'!$D$5))*('Autres hypothèses'!$D$5/(((1+'Autres hypothèses'!$D$5)^'Conduite princ. - égout pluvial'!H157-1)))</f>
        <v>1488.0053783823776</v>
      </c>
      <c r="K157" s="5">
        <v>1992</v>
      </c>
      <c r="L157" s="5">
        <f t="shared" si="12"/>
        <v>30</v>
      </c>
      <c r="M157" s="1">
        <f t="shared" si="13"/>
        <v>0.42857142857142855</v>
      </c>
      <c r="N157" s="3">
        <f t="shared" si="14"/>
        <v>64844.999999999985</v>
      </c>
      <c r="O157" s="3">
        <f t="shared" si="15"/>
        <v>86459.999999999985</v>
      </c>
    </row>
    <row r="158" spans="1:15" x14ac:dyDescent="0.25">
      <c r="A158" s="15" t="s">
        <v>877</v>
      </c>
      <c r="B158" s="5" t="s">
        <v>2154</v>
      </c>
      <c r="C158" s="5">
        <v>375</v>
      </c>
      <c r="D158" s="5">
        <v>86</v>
      </c>
      <c r="E158" s="7">
        <f>VLOOKUP(C158,'Taux unitaires'!E:F,2,FALSE)</f>
        <v>1650</v>
      </c>
      <c r="F158" s="6">
        <f t="shared" si="16"/>
        <v>141900</v>
      </c>
      <c r="G158" s="5">
        <f>VLOOKUP(B158,'Durée de vie utile'!$C$1:$E$6,3,FALSE)</f>
        <v>100</v>
      </c>
      <c r="H158" s="5">
        <f>VLOOKUP(B158,'Durée de vie utile'!$C$1:$E$6,2,FALSE)</f>
        <v>70</v>
      </c>
      <c r="I158" s="6">
        <f t="shared" si="17"/>
        <v>2027.1428571428571</v>
      </c>
      <c r="J158" s="6">
        <f>(F158/(1+'Autres hypothèses'!$D$5))*('Autres hypothèses'!$D$5/(((1+'Autres hypothèses'!$D$5)^'Conduite princ. - égout pluvial'!H158-1)))</f>
        <v>1395.5121323978681</v>
      </c>
      <c r="K158" s="5">
        <v>1992</v>
      </c>
      <c r="L158" s="5">
        <f t="shared" si="12"/>
        <v>30</v>
      </c>
      <c r="M158" s="1">
        <f t="shared" si="13"/>
        <v>0.42857142857142855</v>
      </c>
      <c r="N158" s="3">
        <f t="shared" si="14"/>
        <v>60814.28571428571</v>
      </c>
      <c r="O158" s="3">
        <f t="shared" si="15"/>
        <v>81085.71428571429</v>
      </c>
    </row>
    <row r="159" spans="1:15" x14ac:dyDescent="0.25">
      <c r="A159" s="15" t="s">
        <v>878</v>
      </c>
      <c r="B159" s="5" t="s">
        <v>2155</v>
      </c>
      <c r="C159" s="5">
        <v>375</v>
      </c>
      <c r="D159" s="5">
        <v>23.900000000000002</v>
      </c>
      <c r="E159" s="7">
        <f>VLOOKUP(C159,'Taux unitaires'!E:F,2,FALSE)</f>
        <v>1650</v>
      </c>
      <c r="F159" s="6">
        <f t="shared" si="16"/>
        <v>39435</v>
      </c>
      <c r="G159" s="5">
        <f>VLOOKUP(B159,'Durée de vie utile'!$C$1:$E$6,3,FALSE)</f>
        <v>125</v>
      </c>
      <c r="H159" s="5">
        <f>VLOOKUP(B159,'Durée de vie utile'!$C$1:$E$6,2,FALSE)</f>
        <v>80</v>
      </c>
      <c r="I159" s="6">
        <f t="shared" si="17"/>
        <v>492.9375</v>
      </c>
      <c r="J159" s="6">
        <f>(F159/(1+'Autres hypothèses'!$D$5))*('Autres hypothèses'!$D$5/(((1+'Autres hypothèses'!$D$5)^'Conduite princ. - égout pluvial'!H159-1)))</f>
        <v>320.90134078771655</v>
      </c>
      <c r="K159" s="5">
        <v>1992</v>
      </c>
      <c r="L159" s="5">
        <f t="shared" si="12"/>
        <v>30</v>
      </c>
      <c r="M159" s="1">
        <f t="shared" si="13"/>
        <v>0.375</v>
      </c>
      <c r="N159" s="3">
        <f t="shared" si="14"/>
        <v>14788.125</v>
      </c>
      <c r="O159" s="3">
        <f t="shared" si="15"/>
        <v>24646.875</v>
      </c>
    </row>
    <row r="160" spans="1:15" x14ac:dyDescent="0.25">
      <c r="A160" s="15" t="s">
        <v>879</v>
      </c>
      <c r="B160" s="5" t="s">
        <v>2156</v>
      </c>
      <c r="C160" s="5">
        <v>450</v>
      </c>
      <c r="D160" s="5">
        <v>90.199999999999989</v>
      </c>
      <c r="E160" s="7">
        <f>VLOOKUP(C160,'Taux unitaires'!E:F,2,FALSE)</f>
        <v>1700</v>
      </c>
      <c r="F160" s="6">
        <f t="shared" si="16"/>
        <v>153339.99999999997</v>
      </c>
      <c r="G160" s="5">
        <f>VLOOKUP(B160,'Durée de vie utile'!$C$1:$E$6,3,FALSE)</f>
        <v>100</v>
      </c>
      <c r="H160" s="5">
        <f>VLOOKUP(B160,'Durée de vie utile'!$C$1:$E$6,2,FALSE)</f>
        <v>70</v>
      </c>
      <c r="I160" s="6">
        <f t="shared" si="17"/>
        <v>2190.571428571428</v>
      </c>
      <c r="J160" s="6">
        <f>(F160/(1+'Autres hypothèses'!$D$5))*('Autres hypothèses'!$D$5/(((1+'Autres hypothèses'!$D$5)^'Conduite princ. - égout pluvial'!H160-1)))</f>
        <v>1508.0185368702539</v>
      </c>
      <c r="K160" s="5">
        <v>1992</v>
      </c>
      <c r="L160" s="5">
        <f t="shared" si="12"/>
        <v>30</v>
      </c>
      <c r="M160" s="1">
        <f t="shared" si="13"/>
        <v>0.42857142857142855</v>
      </c>
      <c r="N160" s="3">
        <f t="shared" si="14"/>
        <v>65717.142857142841</v>
      </c>
      <c r="O160" s="3">
        <f t="shared" si="15"/>
        <v>87622.85714285713</v>
      </c>
    </row>
    <row r="161" spans="1:15" x14ac:dyDescent="0.25">
      <c r="A161" s="15" t="s">
        <v>880</v>
      </c>
      <c r="B161" s="5" t="s">
        <v>2157</v>
      </c>
      <c r="C161" s="5">
        <v>750</v>
      </c>
      <c r="D161" s="5">
        <v>83.199999999999989</v>
      </c>
      <c r="E161" s="7">
        <f>VLOOKUP(C161,'Taux unitaires'!E:F,2,FALSE)</f>
        <v>1900</v>
      </c>
      <c r="F161" s="6">
        <f t="shared" si="16"/>
        <v>158079.99999999997</v>
      </c>
      <c r="G161" s="5">
        <f>VLOOKUP(B161,'Durée de vie utile'!$C$1:$E$6,3,FALSE)</f>
        <v>125</v>
      </c>
      <c r="H161" s="5">
        <f>VLOOKUP(B161,'Durée de vie utile'!$C$1:$E$6,2,FALSE)</f>
        <v>80</v>
      </c>
      <c r="I161" s="6">
        <f t="shared" si="17"/>
        <v>1975.9999999999995</v>
      </c>
      <c r="J161" s="6">
        <f>(F161/(1+'Autres hypothèses'!$D$5))*('Autres hypothèses'!$D$5/(((1+'Autres hypothèses'!$D$5)^'Conduite princ. - égout pluvial'!H161-1)))</f>
        <v>1286.3721047729739</v>
      </c>
      <c r="K161" s="5">
        <v>1992</v>
      </c>
      <c r="L161" s="5">
        <f t="shared" si="12"/>
        <v>30</v>
      </c>
      <c r="M161" s="1">
        <f t="shared" si="13"/>
        <v>0.375</v>
      </c>
      <c r="N161" s="3">
        <f t="shared" si="14"/>
        <v>59279.999999999985</v>
      </c>
      <c r="O161" s="3">
        <f t="shared" si="15"/>
        <v>98799.999999999985</v>
      </c>
    </row>
    <row r="162" spans="1:15" x14ac:dyDescent="0.25">
      <c r="A162" s="15" t="s">
        <v>881</v>
      </c>
      <c r="B162" s="5" t="s">
        <v>2158</v>
      </c>
      <c r="C162" s="5">
        <v>375</v>
      </c>
      <c r="D162" s="5">
        <v>56.1</v>
      </c>
      <c r="E162" s="7">
        <f>VLOOKUP(C162,'Taux unitaires'!E:F,2,FALSE)</f>
        <v>1650</v>
      </c>
      <c r="F162" s="6">
        <f t="shared" si="16"/>
        <v>92565</v>
      </c>
      <c r="G162" s="5">
        <f>VLOOKUP(B162,'Durée de vie utile'!$C$1:$E$6,3,FALSE)</f>
        <v>100</v>
      </c>
      <c r="H162" s="5">
        <f>VLOOKUP(B162,'Durée de vie utile'!$C$1:$E$6,2,FALSE)</f>
        <v>70</v>
      </c>
      <c r="I162" s="6">
        <f t="shared" si="17"/>
        <v>1322.3571428571429</v>
      </c>
      <c r="J162" s="6">
        <f>(F162/(1+'Autres hypothèses'!$D$5))*('Autres hypothèses'!$D$5/(((1+'Autres hypothèses'!$D$5)^'Conduite princ. - égout pluvial'!H162-1)))</f>
        <v>910.32826311070221</v>
      </c>
      <c r="K162" s="5">
        <v>1992</v>
      </c>
      <c r="L162" s="5">
        <f t="shared" si="12"/>
        <v>30</v>
      </c>
      <c r="M162" s="1">
        <f t="shared" si="13"/>
        <v>0.42857142857142855</v>
      </c>
      <c r="N162" s="3">
        <f t="shared" si="14"/>
        <v>39670.714285714283</v>
      </c>
      <c r="O162" s="3">
        <f t="shared" si="15"/>
        <v>52894.285714285717</v>
      </c>
    </row>
    <row r="163" spans="1:15" x14ac:dyDescent="0.25">
      <c r="A163" s="15" t="s">
        <v>882</v>
      </c>
      <c r="B163" s="5" t="s">
        <v>2159</v>
      </c>
      <c r="C163" s="5">
        <v>200</v>
      </c>
      <c r="D163" s="5">
        <v>2.1</v>
      </c>
      <c r="E163" s="7">
        <f>VLOOKUP(C163,'Taux unitaires'!E:F,2,FALSE)</f>
        <v>1550</v>
      </c>
      <c r="F163" s="6">
        <f t="shared" si="16"/>
        <v>3255</v>
      </c>
      <c r="G163" s="5">
        <f>VLOOKUP(B163,'Durée de vie utile'!$C$1:$E$6,3,FALSE)</f>
        <v>100</v>
      </c>
      <c r="H163" s="5">
        <f>VLOOKUP(B163,'Durée de vie utile'!$C$1:$E$6,2,FALSE)</f>
        <v>70</v>
      </c>
      <c r="I163" s="6">
        <f t="shared" si="17"/>
        <v>46.5</v>
      </c>
      <c r="J163" s="6">
        <f>(F163/(1+'Autres hypothèses'!$D$5))*('Autres hypothèses'!$D$5/(((1+'Autres hypothèses'!$D$5)^'Conduite princ. - égout pluvial'!H163-1)))</f>
        <v>32.011219104686823</v>
      </c>
      <c r="K163" s="5">
        <v>1996</v>
      </c>
      <c r="L163" s="5">
        <f t="shared" si="12"/>
        <v>26</v>
      </c>
      <c r="M163" s="1">
        <f t="shared" si="13"/>
        <v>0.37142857142857144</v>
      </c>
      <c r="N163" s="3">
        <f t="shared" si="14"/>
        <v>1209</v>
      </c>
      <c r="O163" s="3">
        <f t="shared" si="15"/>
        <v>2046</v>
      </c>
    </row>
    <row r="164" spans="1:15" x14ac:dyDescent="0.25">
      <c r="A164" s="15" t="s">
        <v>883</v>
      </c>
      <c r="B164" s="5" t="s">
        <v>2160</v>
      </c>
      <c r="C164" s="5">
        <v>250</v>
      </c>
      <c r="D164" s="5">
        <v>42.7</v>
      </c>
      <c r="E164" s="7">
        <f>VLOOKUP(C164,'Taux unitaires'!E:F,2,FALSE)</f>
        <v>1600</v>
      </c>
      <c r="F164" s="6">
        <f t="shared" si="16"/>
        <v>68320</v>
      </c>
      <c r="G164" s="5">
        <f>VLOOKUP(B164,'Durée de vie utile'!$C$1:$E$6,3,FALSE)</f>
        <v>100</v>
      </c>
      <c r="H164" s="5">
        <f>VLOOKUP(B164,'Durée de vie utile'!$C$1:$E$6,2,FALSE)</f>
        <v>70</v>
      </c>
      <c r="I164" s="6">
        <f t="shared" si="17"/>
        <v>976</v>
      </c>
      <c r="J164" s="6">
        <f>(F164/(1+'Autres hypothèses'!$D$5))*('Autres hypothèses'!$D$5/(((1+'Autres hypothèses'!$D$5)^'Conduite princ. - égout pluvial'!H164-1)))</f>
        <v>671.89139454138365</v>
      </c>
      <c r="K164" s="5">
        <v>1992</v>
      </c>
      <c r="L164" s="5">
        <f t="shared" si="12"/>
        <v>30</v>
      </c>
      <c r="M164" s="1">
        <f t="shared" si="13"/>
        <v>0.42857142857142855</v>
      </c>
      <c r="N164" s="3">
        <f t="shared" si="14"/>
        <v>29280</v>
      </c>
      <c r="O164" s="3">
        <f t="shared" si="15"/>
        <v>39040</v>
      </c>
    </row>
    <row r="165" spans="1:15" x14ac:dyDescent="0.25">
      <c r="A165" s="15" t="s">
        <v>884</v>
      </c>
      <c r="B165" s="5" t="s">
        <v>2161</v>
      </c>
      <c r="C165" s="5">
        <v>375</v>
      </c>
      <c r="D165" s="5">
        <v>81.399999999999991</v>
      </c>
      <c r="E165" s="7">
        <f>VLOOKUP(C165,'Taux unitaires'!E:F,2,FALSE)</f>
        <v>1650</v>
      </c>
      <c r="F165" s="6">
        <f t="shared" si="16"/>
        <v>134310</v>
      </c>
      <c r="G165" s="5">
        <f>VLOOKUP(B165,'Durée de vie utile'!$C$1:$E$6,3,FALSE)</f>
        <v>100</v>
      </c>
      <c r="H165" s="5">
        <f>VLOOKUP(B165,'Durée de vie utile'!$C$1:$E$6,2,FALSE)</f>
        <v>70</v>
      </c>
      <c r="I165" s="6">
        <f t="shared" si="17"/>
        <v>1918.7142857142858</v>
      </c>
      <c r="J165" s="6">
        <f>(F165/(1+'Autres hypothèses'!$D$5))*('Autres hypothèses'!$D$5/(((1+'Autres hypothèses'!$D$5)^'Conduite princ. - égout pluvial'!H165-1)))</f>
        <v>1320.8684601998425</v>
      </c>
      <c r="K165" s="5">
        <v>1992</v>
      </c>
      <c r="L165" s="5">
        <f t="shared" si="12"/>
        <v>30</v>
      </c>
      <c r="M165" s="1">
        <f t="shared" si="13"/>
        <v>0.42857142857142855</v>
      </c>
      <c r="N165" s="3">
        <f t="shared" si="14"/>
        <v>57561.428571428565</v>
      </c>
      <c r="O165" s="3">
        <f t="shared" si="15"/>
        <v>76748.571428571435</v>
      </c>
    </row>
    <row r="166" spans="1:15" x14ac:dyDescent="0.25">
      <c r="A166" s="15" t="s">
        <v>885</v>
      </c>
      <c r="B166" s="5" t="s">
        <v>2162</v>
      </c>
      <c r="C166" s="5">
        <v>300</v>
      </c>
      <c r="D166" s="5">
        <v>82.399999999999991</v>
      </c>
      <c r="E166" s="7">
        <f>VLOOKUP(C166,'Taux unitaires'!E:F,2,FALSE)</f>
        <v>1650</v>
      </c>
      <c r="F166" s="6">
        <f t="shared" si="16"/>
        <v>135960</v>
      </c>
      <c r="G166" s="5">
        <f>VLOOKUP(B166,'Durée de vie utile'!$C$1:$E$6,3,FALSE)</f>
        <v>125</v>
      </c>
      <c r="H166" s="5">
        <f>VLOOKUP(B166,'Durée de vie utile'!$C$1:$E$6,2,FALSE)</f>
        <v>90</v>
      </c>
      <c r="I166" s="6">
        <f t="shared" si="17"/>
        <v>1510.6666666666667</v>
      </c>
      <c r="J166" s="6">
        <f>(F166/(1+'Autres hypothèses'!$D$5))*('Autres hypothèses'!$D$5/(((1+'Autres hypothèses'!$D$5)^'Conduite princ. - égout pluvial'!H166-1)))</f>
        <v>929.24772264165085</v>
      </c>
      <c r="K166" s="5">
        <v>1993</v>
      </c>
      <c r="L166" s="5">
        <f t="shared" si="12"/>
        <v>29</v>
      </c>
      <c r="M166" s="1">
        <f t="shared" si="13"/>
        <v>0.32222222222222224</v>
      </c>
      <c r="N166" s="3">
        <f t="shared" si="14"/>
        <v>43809.333333333336</v>
      </c>
      <c r="O166" s="3">
        <f t="shared" si="15"/>
        <v>92150.666666666657</v>
      </c>
    </row>
    <row r="167" spans="1:15" x14ac:dyDescent="0.25">
      <c r="A167" s="15" t="s">
        <v>886</v>
      </c>
      <c r="B167" s="5" t="s">
        <v>2163</v>
      </c>
      <c r="C167" s="5">
        <v>200</v>
      </c>
      <c r="D167" s="5">
        <v>5.6999999999999993</v>
      </c>
      <c r="E167" s="7">
        <f>VLOOKUP(C167,'Taux unitaires'!E:F,2,FALSE)</f>
        <v>1550</v>
      </c>
      <c r="F167" s="6">
        <f t="shared" si="16"/>
        <v>8834.9999999999982</v>
      </c>
      <c r="G167" s="5">
        <f>VLOOKUP(B167,'Durée de vie utile'!$C$1:$E$6,3,FALSE)</f>
        <v>125</v>
      </c>
      <c r="H167" s="5">
        <f>VLOOKUP(B167,'Durée de vie utile'!$C$1:$E$6,2,FALSE)</f>
        <v>90</v>
      </c>
      <c r="I167" s="6">
        <f t="shared" si="17"/>
        <v>98.166666666666643</v>
      </c>
      <c r="J167" s="6">
        <f>(F167/(1+'Autres hypothèses'!$D$5))*('Autres hypothèses'!$D$5/(((1+'Autres hypothèses'!$D$5)^'Conduite princ. - égout pluvial'!H167-1)))</f>
        <v>60.384698657980159</v>
      </c>
      <c r="K167" s="5">
        <v>1996</v>
      </c>
      <c r="L167" s="5">
        <f t="shared" si="12"/>
        <v>26</v>
      </c>
      <c r="M167" s="1">
        <f t="shared" si="13"/>
        <v>0.28888888888888886</v>
      </c>
      <c r="N167" s="3">
        <f t="shared" si="14"/>
        <v>2552.3333333333326</v>
      </c>
      <c r="O167" s="3">
        <f t="shared" si="15"/>
        <v>6282.6666666666661</v>
      </c>
    </row>
    <row r="168" spans="1:15" x14ac:dyDescent="0.25">
      <c r="A168" s="15" t="s">
        <v>887</v>
      </c>
      <c r="B168" s="5" t="s">
        <v>2164</v>
      </c>
      <c r="C168" s="5">
        <v>375</v>
      </c>
      <c r="D168" s="5">
        <v>19</v>
      </c>
      <c r="E168" s="7">
        <f>VLOOKUP(C168,'Taux unitaires'!E:F,2,FALSE)</f>
        <v>1650</v>
      </c>
      <c r="F168" s="6">
        <f t="shared" si="16"/>
        <v>31350</v>
      </c>
      <c r="G168" s="5">
        <f>VLOOKUP(B168,'Durée de vie utile'!$C$1:$E$6,3,FALSE)</f>
        <v>100</v>
      </c>
      <c r="H168" s="5">
        <f>VLOOKUP(B168,'Durée de vie utile'!$C$1:$E$6,2,FALSE)</f>
        <v>70</v>
      </c>
      <c r="I168" s="6">
        <f t="shared" si="17"/>
        <v>447.85714285714283</v>
      </c>
      <c r="J168" s="6">
        <f>(F168/(1+'Autres hypothèses'!$D$5))*('Autres hypothèses'!$D$5/(((1+'Autres hypothèses'!$D$5)^'Conduite princ. - égout pluvial'!H168-1)))</f>
        <v>308.31081994836615</v>
      </c>
      <c r="K168" s="5">
        <v>1993</v>
      </c>
      <c r="L168" s="5">
        <f t="shared" si="12"/>
        <v>29</v>
      </c>
      <c r="M168" s="1">
        <f t="shared" si="13"/>
        <v>0.41428571428571431</v>
      </c>
      <c r="N168" s="3">
        <f t="shared" si="14"/>
        <v>12987.857142857143</v>
      </c>
      <c r="O168" s="3">
        <f t="shared" si="15"/>
        <v>18362.142857142855</v>
      </c>
    </row>
    <row r="169" spans="1:15" x14ac:dyDescent="0.25">
      <c r="A169" s="15" t="s">
        <v>888</v>
      </c>
      <c r="B169" s="5" t="s">
        <v>2165</v>
      </c>
      <c r="C169" s="5">
        <v>200</v>
      </c>
      <c r="D169" s="5">
        <v>48.300000000000004</v>
      </c>
      <c r="E169" s="7">
        <f>VLOOKUP(C169,'Taux unitaires'!E:F,2,FALSE)</f>
        <v>1550</v>
      </c>
      <c r="F169" s="6">
        <f t="shared" si="16"/>
        <v>74865</v>
      </c>
      <c r="G169" s="5">
        <f>VLOOKUP(B169,'Durée de vie utile'!$C$1:$E$6,3,FALSE)</f>
        <v>125</v>
      </c>
      <c r="H169" s="5">
        <f>VLOOKUP(B169,'Durée de vie utile'!$C$1:$E$6,2,FALSE)</f>
        <v>90</v>
      </c>
      <c r="I169" s="6">
        <f t="shared" si="17"/>
        <v>831.83333333333337</v>
      </c>
      <c r="J169" s="6">
        <f>(F169/(1+'Autres hypothèses'!$D$5))*('Autres hypothèses'!$D$5/(((1+'Autres hypothèses'!$D$5)^'Conduite princ. - égout pluvial'!H169-1)))</f>
        <v>511.68086757551617</v>
      </c>
      <c r="K169" s="5">
        <v>1996</v>
      </c>
      <c r="L169" s="5">
        <f t="shared" si="12"/>
        <v>26</v>
      </c>
      <c r="M169" s="1">
        <f t="shared" si="13"/>
        <v>0.28888888888888886</v>
      </c>
      <c r="N169" s="3">
        <f t="shared" si="14"/>
        <v>21627.666666666664</v>
      </c>
      <c r="O169" s="3">
        <f t="shared" si="15"/>
        <v>53237.333333333336</v>
      </c>
    </row>
    <row r="170" spans="1:15" x14ac:dyDescent="0.25">
      <c r="A170" s="15" t="s">
        <v>889</v>
      </c>
      <c r="B170" s="5" t="s">
        <v>2166</v>
      </c>
      <c r="C170" s="5">
        <v>200</v>
      </c>
      <c r="D170" s="5">
        <v>34.700000000000003</v>
      </c>
      <c r="E170" s="7">
        <f>VLOOKUP(C170,'Taux unitaires'!E:F,2,FALSE)</f>
        <v>1550</v>
      </c>
      <c r="F170" s="6">
        <f t="shared" si="16"/>
        <v>53785.000000000007</v>
      </c>
      <c r="G170" s="5">
        <f>VLOOKUP(B170,'Durée de vie utile'!$C$1:$E$6,3,FALSE)</f>
        <v>100</v>
      </c>
      <c r="H170" s="5">
        <f>VLOOKUP(B170,'Durée de vie utile'!$C$1:$E$6,2,FALSE)</f>
        <v>70</v>
      </c>
      <c r="I170" s="6">
        <f t="shared" si="17"/>
        <v>768.357142857143</v>
      </c>
      <c r="J170" s="6">
        <f>(F170/(1+'Autres hypothèses'!$D$5))*('Autres hypothèses'!$D$5/(((1+'Autres hypothèses'!$D$5)^'Conduite princ. - égout pluvial'!H170-1)))</f>
        <v>528.94728711077755</v>
      </c>
      <c r="K170" s="5">
        <v>1996</v>
      </c>
      <c r="L170" s="5">
        <f t="shared" si="12"/>
        <v>26</v>
      </c>
      <c r="M170" s="1">
        <f t="shared" si="13"/>
        <v>0.37142857142857144</v>
      </c>
      <c r="N170" s="3">
        <f t="shared" si="14"/>
        <v>19977.285714285717</v>
      </c>
      <c r="O170" s="3">
        <f t="shared" si="15"/>
        <v>33807.71428571429</v>
      </c>
    </row>
    <row r="171" spans="1:15" x14ac:dyDescent="0.25">
      <c r="A171" s="15" t="s">
        <v>890</v>
      </c>
      <c r="B171" s="5" t="s">
        <v>2167</v>
      </c>
      <c r="C171" s="5">
        <v>450</v>
      </c>
      <c r="D171" s="5">
        <v>41.7</v>
      </c>
      <c r="E171" s="7">
        <f>VLOOKUP(C171,'Taux unitaires'!E:F,2,FALSE)</f>
        <v>1700</v>
      </c>
      <c r="F171" s="6">
        <f t="shared" si="16"/>
        <v>70890</v>
      </c>
      <c r="G171" s="5">
        <f>VLOOKUP(B171,'Durée de vie utile'!$C$1:$E$6,3,FALSE)</f>
        <v>125</v>
      </c>
      <c r="H171" s="5">
        <f>VLOOKUP(B171,'Durée de vie utile'!$C$1:$E$6,2,FALSE)</f>
        <v>80</v>
      </c>
      <c r="I171" s="6">
        <f t="shared" si="17"/>
        <v>886.125</v>
      </c>
      <c r="J171" s="6">
        <f>(F171/(1+'Autres hypothèses'!$D$5))*('Autres hypothèses'!$D$5/(((1+'Autres hypothèses'!$D$5)^'Conduite princ. - égout pluvial'!H171-1)))</f>
        <v>576.86562820948973</v>
      </c>
      <c r="K171" s="5">
        <v>1996</v>
      </c>
      <c r="L171" s="5">
        <f t="shared" si="12"/>
        <v>26</v>
      </c>
      <c r="M171" s="1">
        <f t="shared" si="13"/>
        <v>0.32500000000000001</v>
      </c>
      <c r="N171" s="3">
        <f t="shared" si="14"/>
        <v>23039.25</v>
      </c>
      <c r="O171" s="3">
        <f t="shared" si="15"/>
        <v>47850.75</v>
      </c>
    </row>
    <row r="172" spans="1:15" x14ac:dyDescent="0.25">
      <c r="A172" s="15" t="s">
        <v>891</v>
      </c>
      <c r="B172" s="5" t="s">
        <v>2168</v>
      </c>
      <c r="C172" s="5">
        <v>300</v>
      </c>
      <c r="D172" s="5">
        <v>22.900000000000002</v>
      </c>
      <c r="E172" s="7">
        <f>VLOOKUP(C172,'Taux unitaires'!E:F,2,FALSE)</f>
        <v>1650</v>
      </c>
      <c r="F172" s="6">
        <f t="shared" si="16"/>
        <v>37785</v>
      </c>
      <c r="G172" s="5">
        <f>VLOOKUP(B172,'Durée de vie utile'!$C$1:$E$6,3,FALSE)</f>
        <v>100</v>
      </c>
      <c r="H172" s="5">
        <f>VLOOKUP(B172,'Durée de vie utile'!$C$1:$E$6,2,FALSE)</f>
        <v>70</v>
      </c>
      <c r="I172" s="6">
        <f t="shared" si="17"/>
        <v>539.78571428571433</v>
      </c>
      <c r="J172" s="6">
        <f>(F172/(1+'Autres hypothèses'!$D$5))*('Autres hypothèses'!$D$5/(((1+'Autres hypothèses'!$D$5)^'Conduite princ. - égout pluvial'!H172-1)))</f>
        <v>371.59567246408346</v>
      </c>
      <c r="K172" s="5">
        <v>1993</v>
      </c>
      <c r="L172" s="5">
        <f t="shared" si="12"/>
        <v>29</v>
      </c>
      <c r="M172" s="1">
        <f t="shared" si="13"/>
        <v>0.41428571428571431</v>
      </c>
      <c r="N172" s="3">
        <f t="shared" si="14"/>
        <v>15653.785714285716</v>
      </c>
      <c r="O172" s="3">
        <f t="shared" si="15"/>
        <v>22131.214285714283</v>
      </c>
    </row>
    <row r="173" spans="1:15" x14ac:dyDescent="0.25">
      <c r="A173" s="15" t="s">
        <v>892</v>
      </c>
      <c r="B173" s="5" t="s">
        <v>2169</v>
      </c>
      <c r="C173" s="5">
        <v>300</v>
      </c>
      <c r="D173" s="5">
        <v>69.699999999999989</v>
      </c>
      <c r="E173" s="7">
        <f>VLOOKUP(C173,'Taux unitaires'!E:F,2,FALSE)</f>
        <v>1650</v>
      </c>
      <c r="F173" s="6">
        <f t="shared" si="16"/>
        <v>115004.99999999999</v>
      </c>
      <c r="G173" s="5">
        <f>VLOOKUP(B173,'Durée de vie utile'!$C$1:$E$6,3,FALSE)</f>
        <v>125</v>
      </c>
      <c r="H173" s="5">
        <f>VLOOKUP(B173,'Durée de vie utile'!$C$1:$E$6,2,FALSE)</f>
        <v>90</v>
      </c>
      <c r="I173" s="6">
        <f t="shared" si="17"/>
        <v>1277.8333333333333</v>
      </c>
      <c r="J173" s="6">
        <f>(F173/(1+'Autres hypothèses'!$D$5))*('Autres hypothèses'!$D$5/(((1+'Autres hypothèses'!$D$5)^'Conduite princ. - égout pluvial'!H173-1)))</f>
        <v>786.02628966168754</v>
      </c>
      <c r="K173" s="5">
        <v>1993</v>
      </c>
      <c r="L173" s="5">
        <f t="shared" si="12"/>
        <v>29</v>
      </c>
      <c r="M173" s="1">
        <f t="shared" si="13"/>
        <v>0.32222222222222224</v>
      </c>
      <c r="N173" s="3">
        <f t="shared" si="14"/>
        <v>37057.166666666664</v>
      </c>
      <c r="O173" s="3">
        <f t="shared" si="15"/>
        <v>77947.833333333314</v>
      </c>
    </row>
    <row r="174" spans="1:15" x14ac:dyDescent="0.25">
      <c r="A174" s="15" t="s">
        <v>893</v>
      </c>
      <c r="B174" s="5" t="s">
        <v>2170</v>
      </c>
      <c r="C174" s="5">
        <v>450</v>
      </c>
      <c r="D174" s="5">
        <v>36</v>
      </c>
      <c r="E174" s="7">
        <f>VLOOKUP(C174,'Taux unitaires'!E:F,2,FALSE)</f>
        <v>1700</v>
      </c>
      <c r="F174" s="6">
        <f t="shared" si="16"/>
        <v>61200</v>
      </c>
      <c r="G174" s="5">
        <f>VLOOKUP(B174,'Durée de vie utile'!$C$1:$E$6,3,FALSE)</f>
        <v>100</v>
      </c>
      <c r="H174" s="5">
        <f>VLOOKUP(B174,'Durée de vie utile'!$C$1:$E$6,2,FALSE)</f>
        <v>80</v>
      </c>
      <c r="I174" s="6">
        <f t="shared" si="17"/>
        <v>765</v>
      </c>
      <c r="J174" s="6">
        <f>(F174/(1+'Autres hypothèses'!$D$5))*('Autres hypothèses'!$D$5/(((1+'Autres hypothèses'!$D$5)^'Conduite princ. - égout pluvial'!H174-1)))</f>
        <v>498.01349197941562</v>
      </c>
      <c r="K174" s="5">
        <v>1993</v>
      </c>
      <c r="L174" s="5">
        <f t="shared" si="12"/>
        <v>29</v>
      </c>
      <c r="M174" s="1">
        <f t="shared" si="13"/>
        <v>0.36249999999999999</v>
      </c>
      <c r="N174" s="3">
        <f t="shared" si="14"/>
        <v>22185</v>
      </c>
      <c r="O174" s="3">
        <f t="shared" si="15"/>
        <v>39015</v>
      </c>
    </row>
    <row r="175" spans="1:15" x14ac:dyDescent="0.25">
      <c r="A175" s="15" t="s">
        <v>894</v>
      </c>
      <c r="B175" s="5" t="s">
        <v>2171</v>
      </c>
      <c r="C175" s="5">
        <v>375</v>
      </c>
      <c r="D175" s="5">
        <v>62.300000000000004</v>
      </c>
      <c r="E175" s="7">
        <f>VLOOKUP(C175,'Taux unitaires'!E:F,2,FALSE)</f>
        <v>1650</v>
      </c>
      <c r="F175" s="6">
        <f t="shared" si="16"/>
        <v>102795</v>
      </c>
      <c r="G175" s="5">
        <f>VLOOKUP(B175,'Durée de vie utile'!$C$1:$E$6,3,FALSE)</f>
        <v>100</v>
      </c>
      <c r="H175" s="5">
        <f>VLOOKUP(B175,'Durée de vie utile'!$C$1:$E$6,2,FALSE)</f>
        <v>70</v>
      </c>
      <c r="I175" s="6">
        <f t="shared" si="17"/>
        <v>1468.5</v>
      </c>
      <c r="J175" s="6">
        <f>(F175/(1+'Autres hypothèses'!$D$5))*('Autres hypothèses'!$D$5/(((1+'Autres hypothèses'!$D$5)^'Conduite princ. - égout pluvial'!H175-1)))</f>
        <v>1010.9349517254324</v>
      </c>
      <c r="K175" s="5">
        <v>1993</v>
      </c>
      <c r="L175" s="5">
        <f t="shared" si="12"/>
        <v>29</v>
      </c>
      <c r="M175" s="1">
        <f t="shared" si="13"/>
        <v>0.41428571428571431</v>
      </c>
      <c r="N175" s="3">
        <f t="shared" si="14"/>
        <v>42586.5</v>
      </c>
      <c r="O175" s="3">
        <f t="shared" si="15"/>
        <v>60208.5</v>
      </c>
    </row>
    <row r="176" spans="1:15" x14ac:dyDescent="0.25">
      <c r="A176" s="15" t="s">
        <v>895</v>
      </c>
      <c r="B176" s="5" t="s">
        <v>2172</v>
      </c>
      <c r="C176" s="5">
        <v>375</v>
      </c>
      <c r="D176" s="5">
        <v>2.4</v>
      </c>
      <c r="E176" s="7">
        <f>VLOOKUP(C176,'Taux unitaires'!E:F,2,FALSE)</f>
        <v>1650</v>
      </c>
      <c r="F176" s="6">
        <f t="shared" si="16"/>
        <v>3960</v>
      </c>
      <c r="G176" s="5">
        <f>VLOOKUP(B176,'Durée de vie utile'!$C$1:$E$6,3,FALSE)</f>
        <v>100</v>
      </c>
      <c r="H176" s="5">
        <f>VLOOKUP(B176,'Durée de vie utile'!$C$1:$E$6,2,FALSE)</f>
        <v>70</v>
      </c>
      <c r="I176" s="6">
        <f t="shared" si="17"/>
        <v>56.571428571428569</v>
      </c>
      <c r="J176" s="6">
        <f>(F176/(1+'Autres hypothèses'!$D$5))*('Autres hypothèses'!$D$5/(((1+'Autres hypothèses'!$D$5)^'Conduite princ. - égout pluvial'!H176-1)))</f>
        <v>38.944524625056779</v>
      </c>
      <c r="K176" s="5">
        <v>1993</v>
      </c>
      <c r="L176" s="5">
        <f t="shared" si="12"/>
        <v>29</v>
      </c>
      <c r="M176" s="1">
        <f t="shared" si="13"/>
        <v>0.41428571428571431</v>
      </c>
      <c r="N176" s="3">
        <f t="shared" si="14"/>
        <v>1640.5714285714287</v>
      </c>
      <c r="O176" s="3">
        <f t="shared" si="15"/>
        <v>2319.4285714285716</v>
      </c>
    </row>
    <row r="177" spans="1:15" x14ac:dyDescent="0.25">
      <c r="A177" s="15" t="s">
        <v>896</v>
      </c>
      <c r="B177" s="5" t="s">
        <v>2173</v>
      </c>
      <c r="C177" s="5">
        <v>450</v>
      </c>
      <c r="D177" s="5">
        <v>30.5</v>
      </c>
      <c r="E177" s="7">
        <f>VLOOKUP(C177,'Taux unitaires'!E:F,2,FALSE)</f>
        <v>1700</v>
      </c>
      <c r="F177" s="6">
        <f t="shared" si="16"/>
        <v>51850</v>
      </c>
      <c r="G177" s="5">
        <f>VLOOKUP(B177,'Durée de vie utile'!$C$1:$E$6,3,FALSE)</f>
        <v>125</v>
      </c>
      <c r="H177" s="5">
        <f>VLOOKUP(B177,'Durée de vie utile'!$C$1:$E$6,2,FALSE)</f>
        <v>80</v>
      </c>
      <c r="I177" s="6">
        <f t="shared" si="17"/>
        <v>648.125</v>
      </c>
      <c r="J177" s="6">
        <f>(F177/(1+'Autres hypothèses'!$D$5))*('Autres hypothèses'!$D$5/(((1+'Autres hypothèses'!$D$5)^'Conduite princ. - égout pluvial'!H177-1)))</f>
        <v>421.92809737144938</v>
      </c>
      <c r="K177" s="5">
        <v>1993</v>
      </c>
      <c r="L177" s="5">
        <f t="shared" si="12"/>
        <v>29</v>
      </c>
      <c r="M177" s="1">
        <f t="shared" si="13"/>
        <v>0.36249999999999999</v>
      </c>
      <c r="N177" s="3">
        <f t="shared" si="14"/>
        <v>18795.625</v>
      </c>
      <c r="O177" s="3">
        <f t="shared" si="15"/>
        <v>33054.375</v>
      </c>
    </row>
    <row r="178" spans="1:15" x14ac:dyDescent="0.25">
      <c r="A178" s="15" t="s">
        <v>897</v>
      </c>
      <c r="B178" s="5" t="s">
        <v>2174</v>
      </c>
      <c r="C178" s="5">
        <v>250</v>
      </c>
      <c r="D178" s="5">
        <v>97.8</v>
      </c>
      <c r="E178" s="7">
        <f>VLOOKUP(C178,'Taux unitaires'!E:F,2,FALSE)</f>
        <v>1600</v>
      </c>
      <c r="F178" s="6">
        <f t="shared" si="16"/>
        <v>156480</v>
      </c>
      <c r="G178" s="5">
        <f>VLOOKUP(B178,'Durée de vie utile'!$C$1:$E$6,3,FALSE)</f>
        <v>125</v>
      </c>
      <c r="H178" s="5">
        <f>VLOOKUP(B178,'Durée de vie utile'!$C$1:$E$6,2,FALSE)</f>
        <v>90</v>
      </c>
      <c r="I178" s="6">
        <f t="shared" si="17"/>
        <v>1738.6666666666667</v>
      </c>
      <c r="J178" s="6">
        <f>(F178/(1+'Autres hypothèses'!$D$5))*('Autres hypothèses'!$D$5/(((1+'Autres hypothèses'!$D$5)^'Conduite princ. - égout pluvial'!H178-1)))</f>
        <v>1069.4960550085725</v>
      </c>
      <c r="K178" s="5">
        <v>1994</v>
      </c>
      <c r="L178" s="5">
        <f t="shared" si="12"/>
        <v>28</v>
      </c>
      <c r="M178" s="1">
        <f t="shared" si="13"/>
        <v>0.31111111111111112</v>
      </c>
      <c r="N178" s="3">
        <f t="shared" si="14"/>
        <v>48682.666666666664</v>
      </c>
      <c r="O178" s="3">
        <f t="shared" si="15"/>
        <v>107797.33333333334</v>
      </c>
    </row>
    <row r="179" spans="1:15" x14ac:dyDescent="0.25">
      <c r="A179" s="15" t="s">
        <v>898</v>
      </c>
      <c r="B179" s="5" t="s">
        <v>2175</v>
      </c>
      <c r="C179" s="5">
        <v>375</v>
      </c>
      <c r="D179" s="5">
        <v>79.599999999999994</v>
      </c>
      <c r="E179" s="7">
        <f>VLOOKUP(C179,'Taux unitaires'!E:F,2,FALSE)</f>
        <v>1650</v>
      </c>
      <c r="F179" s="6">
        <f t="shared" si="16"/>
        <v>131340</v>
      </c>
      <c r="G179" s="5">
        <f>VLOOKUP(B179,'Durée de vie utile'!$C$1:$E$6,3,FALSE)</f>
        <v>125</v>
      </c>
      <c r="H179" s="5">
        <f>VLOOKUP(B179,'Durée de vie utile'!$C$1:$E$6,2,FALSE)</f>
        <v>90</v>
      </c>
      <c r="I179" s="6">
        <f t="shared" si="17"/>
        <v>1459.3333333333333</v>
      </c>
      <c r="J179" s="6">
        <f>(F179/(1+'Autres hypothèses'!$D$5))*('Autres hypothèses'!$D$5/(((1+'Autres hypothèses'!$D$5)^'Conduite princ. - égout pluvial'!H179-1)))</f>
        <v>897.67134371693453</v>
      </c>
      <c r="K179" s="5">
        <v>1994</v>
      </c>
      <c r="L179" s="5">
        <f t="shared" si="12"/>
        <v>28</v>
      </c>
      <c r="M179" s="1">
        <f t="shared" si="13"/>
        <v>0.31111111111111112</v>
      </c>
      <c r="N179" s="3">
        <f t="shared" si="14"/>
        <v>40861.333333333336</v>
      </c>
      <c r="O179" s="3">
        <f t="shared" si="15"/>
        <v>90478.666666666657</v>
      </c>
    </row>
    <row r="180" spans="1:15" x14ac:dyDescent="0.25">
      <c r="A180" s="15" t="s">
        <v>899</v>
      </c>
      <c r="B180" s="5" t="s">
        <v>2176</v>
      </c>
      <c r="C180" s="5">
        <v>300</v>
      </c>
      <c r="D180" s="5">
        <v>86.5</v>
      </c>
      <c r="E180" s="7">
        <f>VLOOKUP(C180,'Taux unitaires'!E:F,2,FALSE)</f>
        <v>1650</v>
      </c>
      <c r="F180" s="6">
        <f t="shared" si="16"/>
        <v>142725</v>
      </c>
      <c r="G180" s="5">
        <f>VLOOKUP(B180,'Durée de vie utile'!$C$1:$E$6,3,FALSE)</f>
        <v>100</v>
      </c>
      <c r="H180" s="5">
        <f>VLOOKUP(B180,'Durée de vie utile'!$C$1:$E$6,2,FALSE)</f>
        <v>70</v>
      </c>
      <c r="I180" s="6">
        <f t="shared" si="17"/>
        <v>2038.9285714285713</v>
      </c>
      <c r="J180" s="6">
        <f>(F180/(1+'Autres hypothèses'!$D$5))*('Autres hypothèses'!$D$5/(((1+'Autres hypothèses'!$D$5)^'Conduite princ. - égout pluvial'!H180-1)))</f>
        <v>1403.625575028088</v>
      </c>
      <c r="K180" s="5">
        <v>1994</v>
      </c>
      <c r="L180" s="5">
        <f t="shared" si="12"/>
        <v>28</v>
      </c>
      <c r="M180" s="1">
        <f t="shared" si="13"/>
        <v>0.4</v>
      </c>
      <c r="N180" s="3">
        <f t="shared" si="14"/>
        <v>57090</v>
      </c>
      <c r="O180" s="3">
        <f t="shared" si="15"/>
        <v>85635</v>
      </c>
    </row>
    <row r="181" spans="1:15" x14ac:dyDescent="0.25">
      <c r="A181" s="15" t="s">
        <v>900</v>
      </c>
      <c r="B181" s="5" t="s">
        <v>2177</v>
      </c>
      <c r="C181" s="5">
        <v>200</v>
      </c>
      <c r="D181" s="5">
        <v>77.599999999999994</v>
      </c>
      <c r="E181" s="7">
        <f>VLOOKUP(C181,'Taux unitaires'!E:F,2,FALSE)</f>
        <v>1550</v>
      </c>
      <c r="F181" s="6">
        <f t="shared" si="16"/>
        <v>120279.99999999999</v>
      </c>
      <c r="G181" s="5">
        <f>VLOOKUP(B181,'Durée de vie utile'!$C$1:$E$6,3,FALSE)</f>
        <v>100</v>
      </c>
      <c r="H181" s="5">
        <f>VLOOKUP(B181,'Durée de vie utile'!$C$1:$E$6,2,FALSE)</f>
        <v>70</v>
      </c>
      <c r="I181" s="6">
        <f t="shared" si="17"/>
        <v>1718.285714285714</v>
      </c>
      <c r="J181" s="6">
        <f>(F181/(1+'Autres hypothèses'!$D$5))*('Autres hypothèses'!$D$5/(((1+'Autres hypothèses'!$D$5)^'Conduite princ. - égout pluvial'!H181-1)))</f>
        <v>1182.8907631065224</v>
      </c>
      <c r="K181" s="5">
        <v>1994</v>
      </c>
      <c r="L181" s="5">
        <f t="shared" si="12"/>
        <v>28</v>
      </c>
      <c r="M181" s="1">
        <f t="shared" si="13"/>
        <v>0.4</v>
      </c>
      <c r="N181" s="3">
        <f t="shared" si="14"/>
        <v>48112</v>
      </c>
      <c r="O181" s="3">
        <f t="shared" si="15"/>
        <v>72167.999999999985</v>
      </c>
    </row>
    <row r="182" spans="1:15" x14ac:dyDescent="0.25">
      <c r="A182" s="15" t="s">
        <v>901</v>
      </c>
      <c r="B182" s="5" t="s">
        <v>2178</v>
      </c>
      <c r="C182" s="5">
        <v>200</v>
      </c>
      <c r="D182" s="5">
        <v>43.6</v>
      </c>
      <c r="E182" s="7">
        <f>VLOOKUP(C182,'Taux unitaires'!E:F,2,FALSE)</f>
        <v>1550</v>
      </c>
      <c r="F182" s="6">
        <f t="shared" si="16"/>
        <v>67580</v>
      </c>
      <c r="G182" s="5">
        <f>VLOOKUP(B182,'Durée de vie utile'!$C$1:$E$6,3,FALSE)</f>
        <v>125</v>
      </c>
      <c r="H182" s="5">
        <f>VLOOKUP(B182,'Durée de vie utile'!$C$1:$E$6,2,FALSE)</f>
        <v>90</v>
      </c>
      <c r="I182" s="6">
        <f t="shared" si="17"/>
        <v>750.88888888888891</v>
      </c>
      <c r="J182" s="6">
        <f>(F182/(1+'Autres hypothèses'!$D$5))*('Autres hypothèses'!$D$5/(((1+'Autres hypothèses'!$D$5)^'Conduite princ. - égout pluvial'!H182-1)))</f>
        <v>461.88997569963777</v>
      </c>
      <c r="K182" s="5">
        <v>1996</v>
      </c>
      <c r="L182" s="5">
        <f t="shared" si="12"/>
        <v>26</v>
      </c>
      <c r="M182" s="1">
        <f t="shared" si="13"/>
        <v>0.28888888888888886</v>
      </c>
      <c r="N182" s="3">
        <f t="shared" si="14"/>
        <v>19523.111111111109</v>
      </c>
      <c r="O182" s="3">
        <f t="shared" si="15"/>
        <v>48056.888888888891</v>
      </c>
    </row>
    <row r="183" spans="1:15" x14ac:dyDescent="0.25">
      <c r="A183" s="15" t="s">
        <v>902</v>
      </c>
      <c r="B183" s="5" t="s">
        <v>2179</v>
      </c>
      <c r="C183" s="5">
        <v>200</v>
      </c>
      <c r="D183" s="5">
        <v>30.8</v>
      </c>
      <c r="E183" s="7">
        <f>VLOOKUP(C183,'Taux unitaires'!E:F,2,FALSE)</f>
        <v>1550</v>
      </c>
      <c r="F183" s="6">
        <f t="shared" si="16"/>
        <v>47740</v>
      </c>
      <c r="G183" s="5">
        <f>VLOOKUP(B183,'Durée de vie utile'!$C$1:$E$6,3,FALSE)</f>
        <v>100</v>
      </c>
      <c r="H183" s="5">
        <f>VLOOKUP(B183,'Durée de vie utile'!$C$1:$E$6,2,FALSE)</f>
        <v>70</v>
      </c>
      <c r="I183" s="6">
        <f t="shared" si="17"/>
        <v>682</v>
      </c>
      <c r="J183" s="6">
        <f>(F183/(1+'Autres hypothèses'!$D$5))*('Autres hypothèses'!$D$5/(((1+'Autres hypothèses'!$D$5)^'Conduite princ. - égout pluvial'!H183-1)))</f>
        <v>469.49788020207342</v>
      </c>
      <c r="K183" s="5">
        <v>1996</v>
      </c>
      <c r="L183" s="5">
        <f t="shared" si="12"/>
        <v>26</v>
      </c>
      <c r="M183" s="1">
        <f t="shared" si="13"/>
        <v>0.37142857142857144</v>
      </c>
      <c r="N183" s="3">
        <f t="shared" si="14"/>
        <v>17732</v>
      </c>
      <c r="O183" s="3">
        <f t="shared" si="15"/>
        <v>30008</v>
      </c>
    </row>
    <row r="184" spans="1:15" x14ac:dyDescent="0.25">
      <c r="A184" s="15" t="s">
        <v>903</v>
      </c>
      <c r="B184" s="5" t="s">
        <v>2180</v>
      </c>
      <c r="C184" s="5">
        <v>375</v>
      </c>
      <c r="D184" s="5">
        <v>44.9</v>
      </c>
      <c r="E184" s="7">
        <f>VLOOKUP(C184,'Taux unitaires'!E:F,2,FALSE)</f>
        <v>1650</v>
      </c>
      <c r="F184" s="6">
        <f t="shared" si="16"/>
        <v>74085</v>
      </c>
      <c r="G184" s="5">
        <f>VLOOKUP(B184,'Durée de vie utile'!$C$1:$E$6,3,FALSE)</f>
        <v>125</v>
      </c>
      <c r="H184" s="5">
        <f>VLOOKUP(B184,'Durée de vie utile'!$C$1:$E$6,2,FALSE)</f>
        <v>90</v>
      </c>
      <c r="I184" s="6">
        <f t="shared" si="17"/>
        <v>823.16666666666663</v>
      </c>
      <c r="J184" s="6">
        <f>(F184/(1+'Autres hypothèses'!$D$5))*('Autres hypothèses'!$D$5/(((1+'Autres hypothèses'!$D$5)^'Conduite princ. - égout pluvial'!H184-1)))</f>
        <v>506.34979061420051</v>
      </c>
      <c r="K184" s="5">
        <v>1995</v>
      </c>
      <c r="L184" s="5">
        <f t="shared" si="12"/>
        <v>27</v>
      </c>
      <c r="M184" s="1">
        <f t="shared" si="13"/>
        <v>0.3</v>
      </c>
      <c r="N184" s="3">
        <f t="shared" si="14"/>
        <v>22225.5</v>
      </c>
      <c r="O184" s="3">
        <f t="shared" si="15"/>
        <v>51859.5</v>
      </c>
    </row>
    <row r="185" spans="1:15" x14ac:dyDescent="0.25">
      <c r="A185" s="15" t="s">
        <v>904</v>
      </c>
      <c r="B185" s="5" t="s">
        <v>2181</v>
      </c>
      <c r="C185" s="5">
        <v>200</v>
      </c>
      <c r="D185" s="5">
        <v>99.699999999999989</v>
      </c>
      <c r="E185" s="7">
        <f>VLOOKUP(C185,'Taux unitaires'!E:F,2,FALSE)</f>
        <v>1550</v>
      </c>
      <c r="F185" s="6">
        <f t="shared" si="16"/>
        <v>154534.99999999997</v>
      </c>
      <c r="G185" s="5">
        <f>VLOOKUP(B185,'Durée de vie utile'!$C$1:$E$6,3,FALSE)</f>
        <v>125</v>
      </c>
      <c r="H185" s="5">
        <f>VLOOKUP(B185,'Durée de vie utile'!$C$1:$E$6,2,FALSE)</f>
        <v>90</v>
      </c>
      <c r="I185" s="6">
        <f t="shared" si="17"/>
        <v>1717.0555555555552</v>
      </c>
      <c r="J185" s="6">
        <f>(F185/(1+'Autres hypothèses'!$D$5))*('Autres hypothèses'!$D$5/(((1+'Autres hypothèses'!$D$5)^'Conduite princ. - égout pluvial'!H185-1)))</f>
        <v>1056.2025361755477</v>
      </c>
      <c r="K185" s="5">
        <v>1995</v>
      </c>
      <c r="L185" s="5">
        <f t="shared" si="12"/>
        <v>27</v>
      </c>
      <c r="M185" s="1">
        <f t="shared" si="13"/>
        <v>0.3</v>
      </c>
      <c r="N185" s="3">
        <f t="shared" si="14"/>
        <v>46360.499999999993</v>
      </c>
      <c r="O185" s="3">
        <f t="shared" si="15"/>
        <v>108174.49999999997</v>
      </c>
    </row>
    <row r="186" spans="1:15" x14ac:dyDescent="0.25">
      <c r="A186" s="15" t="s">
        <v>905</v>
      </c>
      <c r="B186" s="5" t="s">
        <v>2182</v>
      </c>
      <c r="C186" s="5">
        <v>750</v>
      </c>
      <c r="D186" s="5">
        <v>93.1</v>
      </c>
      <c r="E186" s="7">
        <f>VLOOKUP(C186,'Taux unitaires'!E:F,2,FALSE)</f>
        <v>1900</v>
      </c>
      <c r="F186" s="6">
        <f t="shared" si="16"/>
        <v>176890</v>
      </c>
      <c r="G186" s="5">
        <f>VLOOKUP(B186,'Durée de vie utile'!$C$1:$E$6,3,FALSE)</f>
        <v>100</v>
      </c>
      <c r="H186" s="5">
        <f>VLOOKUP(B186,'Durée de vie utile'!$C$1:$E$6,2,FALSE)</f>
        <v>70</v>
      </c>
      <c r="I186" s="6">
        <f t="shared" si="17"/>
        <v>2527</v>
      </c>
      <c r="J186" s="6">
        <f>(F186/(1+'Autres hypothèses'!$D$5))*('Autres hypothèses'!$D$5/(((1+'Autres hypothèses'!$D$5)^'Conduite princ. - égout pluvial'!H186-1)))</f>
        <v>1739.6204446783572</v>
      </c>
      <c r="K186" s="5">
        <v>1995</v>
      </c>
      <c r="L186" s="5">
        <f t="shared" si="12"/>
        <v>27</v>
      </c>
      <c r="M186" s="1">
        <f t="shared" si="13"/>
        <v>0.38571428571428573</v>
      </c>
      <c r="N186" s="3">
        <f t="shared" si="14"/>
        <v>68229</v>
      </c>
      <c r="O186" s="3">
        <f t="shared" si="15"/>
        <v>108661</v>
      </c>
    </row>
    <row r="187" spans="1:15" x14ac:dyDescent="0.25">
      <c r="A187" s="15" t="s">
        <v>906</v>
      </c>
      <c r="B187" s="5" t="s">
        <v>2183</v>
      </c>
      <c r="C187" s="5">
        <v>375</v>
      </c>
      <c r="D187" s="5">
        <v>87.1</v>
      </c>
      <c r="E187" s="7">
        <f>VLOOKUP(C187,'Taux unitaires'!E:F,2,FALSE)</f>
        <v>1650</v>
      </c>
      <c r="F187" s="6">
        <f t="shared" si="16"/>
        <v>143715</v>
      </c>
      <c r="G187" s="5">
        <f>VLOOKUP(B187,'Durée de vie utile'!$C$1:$E$6,3,FALSE)</f>
        <v>100</v>
      </c>
      <c r="H187" s="5">
        <f>VLOOKUP(B187,'Durée de vie utile'!$C$1:$E$6,2,FALSE)</f>
        <v>70</v>
      </c>
      <c r="I187" s="6">
        <f t="shared" si="17"/>
        <v>2053.0714285714284</v>
      </c>
      <c r="J187" s="6">
        <f>(F187/(1+'Autres hypothèses'!$D$5))*('Autres hypothèses'!$D$5/(((1+'Autres hypothèses'!$D$5)^'Conduite princ. - égout pluvial'!H187-1)))</f>
        <v>1413.3617061843524</v>
      </c>
      <c r="K187" s="5">
        <v>1995</v>
      </c>
      <c r="L187" s="5">
        <f t="shared" si="12"/>
        <v>27</v>
      </c>
      <c r="M187" s="1">
        <f t="shared" si="13"/>
        <v>0.38571428571428573</v>
      </c>
      <c r="N187" s="3">
        <f t="shared" si="14"/>
        <v>55432.928571428572</v>
      </c>
      <c r="O187" s="3">
        <f t="shared" si="15"/>
        <v>88282.07142857142</v>
      </c>
    </row>
    <row r="188" spans="1:15" x14ac:dyDescent="0.25">
      <c r="A188" s="15" t="s">
        <v>907</v>
      </c>
      <c r="B188" s="5" t="s">
        <v>2184</v>
      </c>
      <c r="C188" s="5">
        <v>300</v>
      </c>
      <c r="D188" s="5">
        <v>52.6</v>
      </c>
      <c r="E188" s="7">
        <f>VLOOKUP(C188,'Taux unitaires'!E:F,2,FALSE)</f>
        <v>1650</v>
      </c>
      <c r="F188" s="6">
        <f t="shared" si="16"/>
        <v>86790</v>
      </c>
      <c r="G188" s="5">
        <f>VLOOKUP(B188,'Durée de vie utile'!$C$1:$E$6,3,FALSE)</f>
        <v>125</v>
      </c>
      <c r="H188" s="5">
        <f>VLOOKUP(B188,'Durée de vie utile'!$C$1:$E$6,2,FALSE)</f>
        <v>80</v>
      </c>
      <c r="I188" s="6">
        <f t="shared" si="17"/>
        <v>1084.875</v>
      </c>
      <c r="J188" s="6">
        <f>(F188/(1+'Autres hypothèses'!$D$5))*('Autres hypothèses'!$D$5/(((1+'Autres hypothèses'!$D$5)^'Conduite princ. - égout pluvial'!H188-1)))</f>
        <v>706.2514864198281</v>
      </c>
      <c r="K188" s="5">
        <v>1994</v>
      </c>
      <c r="L188" s="5">
        <f t="shared" si="12"/>
        <v>28</v>
      </c>
      <c r="M188" s="1">
        <f t="shared" si="13"/>
        <v>0.35</v>
      </c>
      <c r="N188" s="3">
        <f t="shared" si="14"/>
        <v>30376.499999999996</v>
      </c>
      <c r="O188" s="3">
        <f t="shared" si="15"/>
        <v>56413.5</v>
      </c>
    </row>
    <row r="189" spans="1:15" x14ac:dyDescent="0.25">
      <c r="A189" s="15" t="s">
        <v>908</v>
      </c>
      <c r="B189" s="5" t="s">
        <v>2185</v>
      </c>
      <c r="C189" s="5">
        <v>300</v>
      </c>
      <c r="D189" s="5">
        <v>24</v>
      </c>
      <c r="E189" s="7">
        <f>VLOOKUP(C189,'Taux unitaires'!E:F,2,FALSE)</f>
        <v>1650</v>
      </c>
      <c r="F189" s="6">
        <f t="shared" si="16"/>
        <v>39600</v>
      </c>
      <c r="G189" s="5">
        <f>VLOOKUP(B189,'Durée de vie utile'!$C$1:$E$6,3,FALSE)</f>
        <v>125</v>
      </c>
      <c r="H189" s="5">
        <f>VLOOKUP(B189,'Durée de vie utile'!$C$1:$E$6,2,FALSE)</f>
        <v>80</v>
      </c>
      <c r="I189" s="6">
        <f t="shared" si="17"/>
        <v>495</v>
      </c>
      <c r="J189" s="6">
        <f>(F189/(1+'Autres hypothèses'!$D$5))*('Autres hypothèses'!$D$5/(((1+'Autres hypothèses'!$D$5)^'Conduite princ. - égout pluvial'!H189-1)))</f>
        <v>322.24402422197483</v>
      </c>
      <c r="K189" s="5">
        <v>1995</v>
      </c>
      <c r="L189" s="5">
        <f t="shared" si="12"/>
        <v>27</v>
      </c>
      <c r="M189" s="1">
        <f t="shared" si="13"/>
        <v>0.33750000000000002</v>
      </c>
      <c r="N189" s="3">
        <f t="shared" si="14"/>
        <v>13365</v>
      </c>
      <c r="O189" s="3">
        <f t="shared" si="15"/>
        <v>26235</v>
      </c>
    </row>
    <row r="190" spans="1:15" x14ac:dyDescent="0.25">
      <c r="A190" s="15" t="s">
        <v>909</v>
      </c>
      <c r="B190" s="5" t="s">
        <v>2186</v>
      </c>
      <c r="C190" s="5">
        <v>450</v>
      </c>
      <c r="D190" s="5">
        <v>97.899999999999991</v>
      </c>
      <c r="E190" s="7">
        <f>VLOOKUP(C190,'Taux unitaires'!E:F,2,FALSE)</f>
        <v>1700</v>
      </c>
      <c r="F190" s="6">
        <f t="shared" si="16"/>
        <v>166430</v>
      </c>
      <c r="G190" s="5">
        <f>VLOOKUP(B190,'Durée de vie utile'!$C$1:$E$6,3,FALSE)</f>
        <v>125</v>
      </c>
      <c r="H190" s="5">
        <f>VLOOKUP(B190,'Durée de vie utile'!$C$1:$E$6,2,FALSE)</f>
        <v>90</v>
      </c>
      <c r="I190" s="6">
        <f t="shared" si="17"/>
        <v>1849.2222222222222</v>
      </c>
      <c r="J190" s="6">
        <f>(F190/(1+'Autres hypothèses'!$D$5))*('Autres hypothèses'!$D$5/(((1+'Autres hypothèses'!$D$5)^'Conduite princ. - égout pluvial'!H190-1)))</f>
        <v>1137.5014598356131</v>
      </c>
      <c r="K190" s="5">
        <v>1996</v>
      </c>
      <c r="L190" s="5">
        <f t="shared" si="12"/>
        <v>26</v>
      </c>
      <c r="M190" s="1">
        <f t="shared" si="13"/>
        <v>0.28888888888888886</v>
      </c>
      <c r="N190" s="3">
        <f t="shared" si="14"/>
        <v>48079.777777777774</v>
      </c>
      <c r="O190" s="3">
        <f t="shared" si="15"/>
        <v>118350.22222222222</v>
      </c>
    </row>
    <row r="191" spans="1:15" x14ac:dyDescent="0.25">
      <c r="A191" s="15" t="s">
        <v>910</v>
      </c>
      <c r="B191" s="5" t="s">
        <v>2187</v>
      </c>
      <c r="C191" s="5">
        <v>200</v>
      </c>
      <c r="D191" s="5">
        <v>54.800000000000004</v>
      </c>
      <c r="E191" s="7">
        <f>VLOOKUP(C191,'Taux unitaires'!E:F,2,FALSE)</f>
        <v>1550</v>
      </c>
      <c r="F191" s="6">
        <f t="shared" si="16"/>
        <v>84940</v>
      </c>
      <c r="G191" s="5">
        <f>VLOOKUP(B191,'Durée de vie utile'!$C$1:$E$6,3,FALSE)</f>
        <v>125</v>
      </c>
      <c r="H191" s="5">
        <f>VLOOKUP(B191,'Durée de vie utile'!$C$1:$E$6,2,FALSE)</f>
        <v>80</v>
      </c>
      <c r="I191" s="6">
        <f t="shared" si="17"/>
        <v>1061.75</v>
      </c>
      <c r="J191" s="6">
        <f>(F191/(1+'Autres hypothèses'!$D$5))*('Autres hypothèses'!$D$5/(((1+'Autres hypothèses'!$D$5)^'Conduite princ. - égout pluvial'!H191-1)))</f>
        <v>691.19715700541769</v>
      </c>
      <c r="K191" s="5">
        <v>1996</v>
      </c>
      <c r="L191" s="5">
        <f t="shared" si="12"/>
        <v>26</v>
      </c>
      <c r="M191" s="1">
        <f t="shared" si="13"/>
        <v>0.32500000000000001</v>
      </c>
      <c r="N191" s="3">
        <f t="shared" si="14"/>
        <v>27605.5</v>
      </c>
      <c r="O191" s="3">
        <f t="shared" si="15"/>
        <v>57334.5</v>
      </c>
    </row>
    <row r="192" spans="1:15" x14ac:dyDescent="0.25">
      <c r="A192" s="15" t="s">
        <v>911</v>
      </c>
      <c r="B192" s="5" t="s">
        <v>2188</v>
      </c>
      <c r="C192" s="5">
        <v>200</v>
      </c>
      <c r="D192" s="5">
        <v>0.1</v>
      </c>
      <c r="E192" s="7">
        <f>VLOOKUP(C192,'Taux unitaires'!E:F,2,FALSE)</f>
        <v>1550</v>
      </c>
      <c r="F192" s="6">
        <f t="shared" si="16"/>
        <v>155</v>
      </c>
      <c r="G192" s="5">
        <f>VLOOKUP(B192,'Durée de vie utile'!$C$1:$E$6,3,FALSE)</f>
        <v>100</v>
      </c>
      <c r="H192" s="5">
        <f>VLOOKUP(B192,'Durée de vie utile'!$C$1:$E$6,2,FALSE)</f>
        <v>70</v>
      </c>
      <c r="I192" s="6">
        <f t="shared" si="17"/>
        <v>2.2142857142857144</v>
      </c>
      <c r="J192" s="6">
        <f>(F192/(1+'Autres hypothèses'!$D$5))*('Autres hypothèses'!$D$5/(((1+'Autres hypothèses'!$D$5)^'Conduite princ. - égout pluvial'!H192-1)))</f>
        <v>1.5243437668898487</v>
      </c>
      <c r="K192" s="5">
        <v>1996</v>
      </c>
      <c r="L192" s="5">
        <f t="shared" si="12"/>
        <v>26</v>
      </c>
      <c r="M192" s="1">
        <f t="shared" si="13"/>
        <v>0.37142857142857144</v>
      </c>
      <c r="N192" s="3">
        <f t="shared" si="14"/>
        <v>57.571428571428577</v>
      </c>
      <c r="O192" s="3">
        <f t="shared" si="15"/>
        <v>97.428571428571416</v>
      </c>
    </row>
    <row r="193" spans="1:15" x14ac:dyDescent="0.25">
      <c r="A193" s="15" t="s">
        <v>912</v>
      </c>
      <c r="B193" s="5" t="s">
        <v>2189</v>
      </c>
      <c r="C193" s="5">
        <v>200</v>
      </c>
      <c r="D193" s="5">
        <v>43.7</v>
      </c>
      <c r="E193" s="7">
        <f>VLOOKUP(C193,'Taux unitaires'!E:F,2,FALSE)</f>
        <v>1550</v>
      </c>
      <c r="F193" s="6">
        <f t="shared" si="16"/>
        <v>67735</v>
      </c>
      <c r="G193" s="5">
        <f>VLOOKUP(B193,'Durée de vie utile'!$C$1:$E$6,3,FALSE)</f>
        <v>125</v>
      </c>
      <c r="H193" s="5">
        <f>VLOOKUP(B193,'Durée de vie utile'!$C$1:$E$6,2,FALSE)</f>
        <v>80</v>
      </c>
      <c r="I193" s="6">
        <f t="shared" si="17"/>
        <v>846.6875</v>
      </c>
      <c r="J193" s="6">
        <f>(F193/(1+'Autres hypothèses'!$D$5))*('Autres hypothèses'!$D$5/(((1+'Autres hypothèses'!$D$5)^'Conduite princ. - égout pluvial'!H193-1)))</f>
        <v>551.19189345140069</v>
      </c>
      <c r="K193" s="5">
        <v>1996</v>
      </c>
      <c r="L193" s="5">
        <f t="shared" si="12"/>
        <v>26</v>
      </c>
      <c r="M193" s="1">
        <f t="shared" si="13"/>
        <v>0.32500000000000001</v>
      </c>
      <c r="N193" s="3">
        <f t="shared" si="14"/>
        <v>22013.875</v>
      </c>
      <c r="O193" s="3">
        <f t="shared" si="15"/>
        <v>45721.125</v>
      </c>
    </row>
    <row r="194" spans="1:15" x14ac:dyDescent="0.25">
      <c r="A194" s="15" t="s">
        <v>913</v>
      </c>
      <c r="B194" s="5" t="s">
        <v>2190</v>
      </c>
      <c r="C194" s="5">
        <v>200</v>
      </c>
      <c r="D194" s="5">
        <v>86.3</v>
      </c>
      <c r="E194" s="7">
        <f>VLOOKUP(C194,'Taux unitaires'!E:F,2,FALSE)</f>
        <v>1550</v>
      </c>
      <c r="F194" s="6">
        <f t="shared" si="16"/>
        <v>133765</v>
      </c>
      <c r="G194" s="5">
        <f>VLOOKUP(B194,'Durée de vie utile'!$C$1:$E$6,3,FALSE)</f>
        <v>125</v>
      </c>
      <c r="H194" s="5">
        <f>VLOOKUP(B194,'Durée de vie utile'!$C$1:$E$6,2,FALSE)</f>
        <v>80</v>
      </c>
      <c r="I194" s="6">
        <f t="shared" si="17"/>
        <v>1672.0625</v>
      </c>
      <c r="J194" s="6">
        <f>(F194/(1+'Autres hypothèses'!$D$5))*('Autres hypothèses'!$D$5/(((1+'Autres hypothèses'!$D$5)^'Conduite princ. - égout pluvial'!H194-1)))</f>
        <v>1088.5093914154661</v>
      </c>
      <c r="K194" s="5">
        <v>1994</v>
      </c>
      <c r="L194" s="5">
        <f t="shared" ref="L194:L250" si="18">2022-K194</f>
        <v>28</v>
      </c>
      <c r="M194" s="1">
        <f t="shared" ref="M194:M250" si="19">L194/H194</f>
        <v>0.35</v>
      </c>
      <c r="N194" s="3">
        <f t="shared" ref="N194:N250" si="20">M194*F194</f>
        <v>46817.75</v>
      </c>
      <c r="O194" s="3">
        <f t="shared" ref="O194:O250" si="21">F194-N194</f>
        <v>86947.25</v>
      </c>
    </row>
    <row r="195" spans="1:15" x14ac:dyDescent="0.25">
      <c r="A195" s="15" t="s">
        <v>914</v>
      </c>
      <c r="B195" s="5" t="s">
        <v>2191</v>
      </c>
      <c r="C195" s="5">
        <v>250</v>
      </c>
      <c r="D195" s="5">
        <v>16.400000000000002</v>
      </c>
      <c r="E195" s="7">
        <f>VLOOKUP(C195,'Taux unitaires'!E:F,2,FALSE)</f>
        <v>1600</v>
      </c>
      <c r="F195" s="6">
        <f t="shared" ref="F195:F250" si="22">D195*E195</f>
        <v>26240.000000000004</v>
      </c>
      <c r="G195" s="5">
        <f>VLOOKUP(B195,'Durée de vie utile'!$C$1:$E$6,3,FALSE)</f>
        <v>100</v>
      </c>
      <c r="H195" s="5">
        <f>VLOOKUP(B195,'Durée de vie utile'!$C$1:$E$6,2,FALSE)</f>
        <v>70</v>
      </c>
      <c r="I195" s="6">
        <f t="shared" ref="I195:I250" si="23">F195/H195</f>
        <v>374.85714285714289</v>
      </c>
      <c r="J195" s="6">
        <f>(F195/(1+'Autres hypothèses'!$D$5))*('Autres hypothèses'!$D$5/(((1+'Autres hypothèses'!$D$5)^'Conduite princ. - égout pluvial'!H195-1)))</f>
        <v>258.05664802057834</v>
      </c>
      <c r="K195" s="5">
        <v>1994</v>
      </c>
      <c r="L195" s="5">
        <f t="shared" si="18"/>
        <v>28</v>
      </c>
      <c r="M195" s="1">
        <f t="shared" si="19"/>
        <v>0.4</v>
      </c>
      <c r="N195" s="3">
        <f t="shared" si="20"/>
        <v>10496.000000000002</v>
      </c>
      <c r="O195" s="3">
        <f t="shared" si="21"/>
        <v>15744.000000000002</v>
      </c>
    </row>
    <row r="196" spans="1:15" x14ac:dyDescent="0.25">
      <c r="A196" s="15" t="s">
        <v>915</v>
      </c>
      <c r="B196" s="5" t="s">
        <v>2192</v>
      </c>
      <c r="C196" s="5">
        <v>250</v>
      </c>
      <c r="D196" s="5">
        <v>85.6</v>
      </c>
      <c r="E196" s="7">
        <f>VLOOKUP(C196,'Taux unitaires'!E:F,2,FALSE)</f>
        <v>1600</v>
      </c>
      <c r="F196" s="6">
        <f t="shared" si="22"/>
        <v>136960</v>
      </c>
      <c r="G196" s="5">
        <f>VLOOKUP(B196,'Durée de vie utile'!$C$1:$E$6,3,FALSE)</f>
        <v>125</v>
      </c>
      <c r="H196" s="5">
        <f>VLOOKUP(B196,'Durée de vie utile'!$C$1:$E$6,2,FALSE)</f>
        <v>90</v>
      </c>
      <c r="I196" s="6">
        <f t="shared" si="23"/>
        <v>1521.7777777777778</v>
      </c>
      <c r="J196" s="6">
        <f>(F196/(1+'Autres hypothèses'!$D$5))*('Autres hypothèses'!$D$5/(((1+'Autres hypothèses'!$D$5)^'Conduite princ. - égout pluvial'!H196-1)))</f>
        <v>936.08243669461967</v>
      </c>
      <c r="K196" s="5">
        <v>1994</v>
      </c>
      <c r="L196" s="5">
        <f t="shared" si="18"/>
        <v>28</v>
      </c>
      <c r="M196" s="1">
        <f t="shared" si="19"/>
        <v>0.31111111111111112</v>
      </c>
      <c r="N196" s="3">
        <f t="shared" si="20"/>
        <v>42609.777777777781</v>
      </c>
      <c r="O196" s="3">
        <f t="shared" si="21"/>
        <v>94350.222222222219</v>
      </c>
    </row>
    <row r="197" spans="1:15" x14ac:dyDescent="0.25">
      <c r="A197" s="15" t="s">
        <v>916</v>
      </c>
      <c r="B197" s="5" t="s">
        <v>2193</v>
      </c>
      <c r="C197" s="5">
        <v>250</v>
      </c>
      <c r="D197" s="5">
        <v>3.7</v>
      </c>
      <c r="E197" s="7">
        <f>VLOOKUP(C197,'Taux unitaires'!E:F,2,FALSE)</f>
        <v>1600</v>
      </c>
      <c r="F197" s="6">
        <f t="shared" si="22"/>
        <v>5920</v>
      </c>
      <c r="G197" s="5">
        <f>VLOOKUP(B197,'Durée de vie utile'!$C$1:$E$6,3,FALSE)</f>
        <v>100</v>
      </c>
      <c r="H197" s="5">
        <f>VLOOKUP(B197,'Durée de vie utile'!$C$1:$E$6,2,FALSE)</f>
        <v>70</v>
      </c>
      <c r="I197" s="6">
        <f t="shared" si="23"/>
        <v>84.571428571428569</v>
      </c>
      <c r="J197" s="6">
        <f>(F197/(1+'Autres hypothèses'!$D$5))*('Autres hypothèses'!$D$5/(((1+'Autres hypothèses'!$D$5)^'Conduite princ. - égout pluvial'!H197-1)))</f>
        <v>58.220097419276804</v>
      </c>
      <c r="K197" s="5">
        <v>1997</v>
      </c>
      <c r="L197" s="5">
        <f t="shared" si="18"/>
        <v>25</v>
      </c>
      <c r="M197" s="1">
        <f t="shared" si="19"/>
        <v>0.35714285714285715</v>
      </c>
      <c r="N197" s="3">
        <f t="shared" si="20"/>
        <v>2114.2857142857142</v>
      </c>
      <c r="O197" s="3">
        <f t="shared" si="21"/>
        <v>3805.7142857142858</v>
      </c>
    </row>
    <row r="198" spans="1:15" x14ac:dyDescent="0.25">
      <c r="A198" s="15" t="s">
        <v>917</v>
      </c>
      <c r="B198" s="5" t="s">
        <v>2194</v>
      </c>
      <c r="C198" s="5">
        <v>375</v>
      </c>
      <c r="D198" s="5">
        <v>83</v>
      </c>
      <c r="E198" s="7">
        <f>VLOOKUP(C198,'Taux unitaires'!E:F,2,FALSE)</f>
        <v>1650</v>
      </c>
      <c r="F198" s="6">
        <f t="shared" si="22"/>
        <v>136950</v>
      </c>
      <c r="G198" s="5">
        <f>VLOOKUP(B198,'Durée de vie utile'!$C$1:$E$6,3,FALSE)</f>
        <v>100</v>
      </c>
      <c r="H198" s="5">
        <f>VLOOKUP(B198,'Durée de vie utile'!$C$1:$E$6,2,FALSE)</f>
        <v>70</v>
      </c>
      <c r="I198" s="6">
        <f t="shared" si="23"/>
        <v>1956.4285714285713</v>
      </c>
      <c r="J198" s="6">
        <f>(F198/(1+'Autres hypothèses'!$D$5))*('Autres hypothèses'!$D$5/(((1+'Autres hypothèses'!$D$5)^'Conduite princ. - égout pluvial'!H198-1)))</f>
        <v>1346.831476616547</v>
      </c>
      <c r="K198" s="5">
        <v>1997</v>
      </c>
      <c r="L198" s="5">
        <f t="shared" si="18"/>
        <v>25</v>
      </c>
      <c r="M198" s="1">
        <f t="shared" si="19"/>
        <v>0.35714285714285715</v>
      </c>
      <c r="N198" s="3">
        <f t="shared" si="20"/>
        <v>48910.71428571429</v>
      </c>
      <c r="O198" s="3">
        <f t="shared" si="21"/>
        <v>88039.28571428571</v>
      </c>
    </row>
    <row r="199" spans="1:15" x14ac:dyDescent="0.25">
      <c r="A199" s="15" t="s">
        <v>918</v>
      </c>
      <c r="B199" s="5" t="s">
        <v>2195</v>
      </c>
      <c r="C199" s="5">
        <v>250</v>
      </c>
      <c r="D199" s="5">
        <v>54.5</v>
      </c>
      <c r="E199" s="7">
        <f>VLOOKUP(C199,'Taux unitaires'!E:F,2,FALSE)</f>
        <v>1600</v>
      </c>
      <c r="F199" s="6">
        <f t="shared" si="22"/>
        <v>87200</v>
      </c>
      <c r="G199" s="5">
        <f>VLOOKUP(B199,'Durée de vie utile'!$C$1:$E$6,3,FALSE)</f>
        <v>125</v>
      </c>
      <c r="H199" s="5">
        <f>VLOOKUP(B199,'Durée de vie utile'!$C$1:$E$6,2,FALSE)</f>
        <v>80</v>
      </c>
      <c r="I199" s="6">
        <f t="shared" si="23"/>
        <v>1090</v>
      </c>
      <c r="J199" s="6">
        <f>(F199/(1+'Autres hypothèses'!$D$5))*('Autres hypothèses'!$D$5/(((1+'Autres hypothèses'!$D$5)^'Conduite princ. - égout pluvial'!H199-1)))</f>
        <v>709.58785131707577</v>
      </c>
      <c r="K199" s="5">
        <v>1997</v>
      </c>
      <c r="L199" s="5">
        <f t="shared" si="18"/>
        <v>25</v>
      </c>
      <c r="M199" s="1">
        <f t="shared" si="19"/>
        <v>0.3125</v>
      </c>
      <c r="N199" s="3">
        <f t="shared" si="20"/>
        <v>27250</v>
      </c>
      <c r="O199" s="3">
        <f t="shared" si="21"/>
        <v>59950</v>
      </c>
    </row>
    <row r="200" spans="1:15" x14ac:dyDescent="0.25">
      <c r="A200" s="15" t="s">
        <v>919</v>
      </c>
      <c r="B200" s="5" t="s">
        <v>2196</v>
      </c>
      <c r="C200" s="5">
        <v>250</v>
      </c>
      <c r="D200" s="5">
        <v>0.9</v>
      </c>
      <c r="E200" s="7">
        <f>VLOOKUP(C200,'Taux unitaires'!E:F,2,FALSE)</f>
        <v>1600</v>
      </c>
      <c r="F200" s="6">
        <f t="shared" si="22"/>
        <v>1440</v>
      </c>
      <c r="G200" s="5">
        <f>VLOOKUP(B200,'Durée de vie utile'!$C$1:$E$6,3,FALSE)</f>
        <v>100</v>
      </c>
      <c r="H200" s="5">
        <f>VLOOKUP(B200,'Durée de vie utile'!$C$1:$E$6,2,FALSE)</f>
        <v>70</v>
      </c>
      <c r="I200" s="6">
        <f t="shared" si="23"/>
        <v>20.571428571428573</v>
      </c>
      <c r="J200" s="6">
        <f>(F200/(1+'Autres hypothèses'!$D$5))*('Autres hypothèses'!$D$5/(((1+'Autres hypothèses'!$D$5)^'Conduite princ. - égout pluvial'!H200-1)))</f>
        <v>14.161645318202465</v>
      </c>
      <c r="K200" s="5">
        <v>1997</v>
      </c>
      <c r="L200" s="5">
        <f t="shared" si="18"/>
        <v>25</v>
      </c>
      <c r="M200" s="1">
        <f t="shared" si="19"/>
        <v>0.35714285714285715</v>
      </c>
      <c r="N200" s="3">
        <f t="shared" si="20"/>
        <v>514.28571428571433</v>
      </c>
      <c r="O200" s="3">
        <f t="shared" si="21"/>
        <v>925.71428571428567</v>
      </c>
    </row>
    <row r="201" spans="1:15" x14ac:dyDescent="0.25">
      <c r="A201" s="15" t="s">
        <v>920</v>
      </c>
      <c r="B201" s="5" t="s">
        <v>2197</v>
      </c>
      <c r="C201" s="5">
        <v>375</v>
      </c>
      <c r="D201" s="5">
        <v>79.899999999999991</v>
      </c>
      <c r="E201" s="7">
        <f>VLOOKUP(C201,'Taux unitaires'!E:F,2,FALSE)</f>
        <v>1650</v>
      </c>
      <c r="F201" s="6">
        <f t="shared" si="22"/>
        <v>131835</v>
      </c>
      <c r="G201" s="5">
        <f>VLOOKUP(B201,'Durée de vie utile'!$C$1:$E$6,3,FALSE)</f>
        <v>125</v>
      </c>
      <c r="H201" s="5">
        <f>VLOOKUP(B201,'Durée de vie utile'!$C$1:$E$6,2,FALSE)</f>
        <v>80</v>
      </c>
      <c r="I201" s="6">
        <f t="shared" si="23"/>
        <v>1647.9375</v>
      </c>
      <c r="J201" s="6">
        <f>(F201/(1+'Autres hypothèses'!$D$5))*('Autres hypothèses'!$D$5/(((1+'Autres hypothèses'!$D$5)^'Conduite princ. - égout pluvial'!H201-1)))</f>
        <v>1072.8040639723245</v>
      </c>
      <c r="K201" s="5">
        <v>1997</v>
      </c>
      <c r="L201" s="5">
        <f t="shared" si="18"/>
        <v>25</v>
      </c>
      <c r="M201" s="1">
        <f t="shared" si="19"/>
        <v>0.3125</v>
      </c>
      <c r="N201" s="3">
        <f t="shared" si="20"/>
        <v>41198.4375</v>
      </c>
      <c r="O201" s="3">
        <f t="shared" si="21"/>
        <v>90636.5625</v>
      </c>
    </row>
    <row r="202" spans="1:15" x14ac:dyDescent="0.25">
      <c r="A202" s="15" t="s">
        <v>921</v>
      </c>
      <c r="B202" s="5" t="s">
        <v>2198</v>
      </c>
      <c r="C202" s="5">
        <v>250</v>
      </c>
      <c r="D202" s="5">
        <v>70.699999999999989</v>
      </c>
      <c r="E202" s="7">
        <f>VLOOKUP(C202,'Taux unitaires'!E:F,2,FALSE)</f>
        <v>1600</v>
      </c>
      <c r="F202" s="6">
        <f t="shared" si="22"/>
        <v>113119.99999999999</v>
      </c>
      <c r="G202" s="5">
        <f>VLOOKUP(B202,'Durée de vie utile'!$C$1:$E$6,3,FALSE)</f>
        <v>100</v>
      </c>
      <c r="H202" s="5">
        <f>VLOOKUP(B202,'Durée de vie utile'!$C$1:$E$6,2,FALSE)</f>
        <v>70</v>
      </c>
      <c r="I202" s="6">
        <f t="shared" si="23"/>
        <v>1615.9999999999998</v>
      </c>
      <c r="J202" s="6">
        <f>(F202/(1+'Autres hypothèses'!$D$5))*('Autres hypothèses'!$D$5/(((1+'Autres hypothèses'!$D$5)^'Conduite princ. - égout pluvial'!H202-1)))</f>
        <v>1112.4759155521269</v>
      </c>
      <c r="K202" s="5">
        <v>1997</v>
      </c>
      <c r="L202" s="5">
        <f t="shared" si="18"/>
        <v>25</v>
      </c>
      <c r="M202" s="1">
        <f t="shared" si="19"/>
        <v>0.35714285714285715</v>
      </c>
      <c r="N202" s="3">
        <f t="shared" si="20"/>
        <v>40399.999999999993</v>
      </c>
      <c r="O202" s="3">
        <f t="shared" si="21"/>
        <v>72720</v>
      </c>
    </row>
    <row r="203" spans="1:15" x14ac:dyDescent="0.25">
      <c r="A203" s="15" t="s">
        <v>922</v>
      </c>
      <c r="B203" s="5" t="s">
        <v>2199</v>
      </c>
      <c r="C203" s="5">
        <v>250</v>
      </c>
      <c r="D203" s="5">
        <v>21.700000000000003</v>
      </c>
      <c r="E203" s="7">
        <f>VLOOKUP(C203,'Taux unitaires'!E:F,2,FALSE)</f>
        <v>1600</v>
      </c>
      <c r="F203" s="6">
        <f t="shared" si="22"/>
        <v>34720.000000000007</v>
      </c>
      <c r="G203" s="5">
        <f>VLOOKUP(B203,'Durée de vie utile'!$C$1:$E$6,3,FALSE)</f>
        <v>125</v>
      </c>
      <c r="H203" s="5">
        <f>VLOOKUP(B203,'Durée de vie utile'!$C$1:$E$6,2,FALSE)</f>
        <v>80</v>
      </c>
      <c r="I203" s="6">
        <f t="shared" si="23"/>
        <v>434.00000000000011</v>
      </c>
      <c r="J203" s="6">
        <f>(F203/(1+'Autres hypothèses'!$D$5))*('Autres hypothèses'!$D$5/(((1+'Autres hypothèses'!$D$5)^'Conduite princ. - égout pluvial'!H203-1)))</f>
        <v>282.53314446936787</v>
      </c>
      <c r="K203" s="5">
        <v>1997</v>
      </c>
      <c r="L203" s="5">
        <f t="shared" si="18"/>
        <v>25</v>
      </c>
      <c r="M203" s="1">
        <f t="shared" si="19"/>
        <v>0.3125</v>
      </c>
      <c r="N203" s="3">
        <f t="shared" si="20"/>
        <v>10850.000000000002</v>
      </c>
      <c r="O203" s="3">
        <f t="shared" si="21"/>
        <v>23870.000000000007</v>
      </c>
    </row>
    <row r="204" spans="1:15" x14ac:dyDescent="0.25">
      <c r="A204" s="15" t="s">
        <v>923</v>
      </c>
      <c r="B204" s="5" t="s">
        <v>2200</v>
      </c>
      <c r="C204" s="5">
        <v>250</v>
      </c>
      <c r="D204" s="5">
        <v>39.1</v>
      </c>
      <c r="E204" s="7">
        <f>VLOOKUP(C204,'Taux unitaires'!E:F,2,FALSE)</f>
        <v>1600</v>
      </c>
      <c r="F204" s="6">
        <f t="shared" si="22"/>
        <v>62560</v>
      </c>
      <c r="G204" s="5">
        <f>VLOOKUP(B204,'Durée de vie utile'!$C$1:$E$6,3,FALSE)</f>
        <v>125</v>
      </c>
      <c r="H204" s="5">
        <f>VLOOKUP(B204,'Durée de vie utile'!$C$1:$E$6,2,FALSE)</f>
        <v>90</v>
      </c>
      <c r="I204" s="6">
        <f t="shared" si="23"/>
        <v>695.11111111111109</v>
      </c>
      <c r="J204" s="6">
        <f>(F204/(1+'Autres hypothèses'!$D$5))*('Autres hypothèses'!$D$5/(((1+'Autres hypothèses'!$D$5)^'Conduite princ. - égout pluvial'!H204-1)))</f>
        <v>427.57971115373402</v>
      </c>
      <c r="K204" s="5">
        <v>1997</v>
      </c>
      <c r="L204" s="5">
        <f t="shared" si="18"/>
        <v>25</v>
      </c>
      <c r="M204" s="1">
        <f t="shared" si="19"/>
        <v>0.27777777777777779</v>
      </c>
      <c r="N204" s="3">
        <f t="shared" si="20"/>
        <v>17377.777777777777</v>
      </c>
      <c r="O204" s="3">
        <f t="shared" si="21"/>
        <v>45182.222222222219</v>
      </c>
    </row>
    <row r="205" spans="1:15" x14ac:dyDescent="0.25">
      <c r="A205" s="15" t="s">
        <v>924</v>
      </c>
      <c r="B205" s="5" t="s">
        <v>2201</v>
      </c>
      <c r="C205" s="5">
        <v>450</v>
      </c>
      <c r="D205" s="5">
        <v>40</v>
      </c>
      <c r="E205" s="7">
        <f>VLOOKUP(C205,'Taux unitaires'!E:F,2,FALSE)</f>
        <v>1700</v>
      </c>
      <c r="F205" s="6">
        <f t="shared" si="22"/>
        <v>68000</v>
      </c>
      <c r="G205" s="5">
        <f>VLOOKUP(B205,'Durée de vie utile'!$C$1:$E$6,3,FALSE)</f>
        <v>125</v>
      </c>
      <c r="H205" s="5">
        <f>VLOOKUP(B205,'Durée de vie utile'!$C$1:$E$6,2,FALSE)</f>
        <v>90</v>
      </c>
      <c r="I205" s="6">
        <f t="shared" si="23"/>
        <v>755.55555555555554</v>
      </c>
      <c r="J205" s="6">
        <f>(F205/(1+'Autres hypothèses'!$D$5))*('Autres hypothèses'!$D$5/(((1+'Autres hypothèses'!$D$5)^'Conduite princ. - égout pluvial'!H205-1)))</f>
        <v>464.76055560188479</v>
      </c>
      <c r="K205" s="5">
        <v>1997</v>
      </c>
      <c r="L205" s="5">
        <f t="shared" si="18"/>
        <v>25</v>
      </c>
      <c r="M205" s="1">
        <f t="shared" si="19"/>
        <v>0.27777777777777779</v>
      </c>
      <c r="N205" s="3">
        <f t="shared" si="20"/>
        <v>18888.888888888891</v>
      </c>
      <c r="O205" s="3">
        <f t="shared" si="21"/>
        <v>49111.111111111109</v>
      </c>
    </row>
    <row r="206" spans="1:15" x14ac:dyDescent="0.25">
      <c r="A206" s="15" t="s">
        <v>925</v>
      </c>
      <c r="B206" s="5" t="s">
        <v>2202</v>
      </c>
      <c r="C206" s="5">
        <v>375</v>
      </c>
      <c r="D206" s="5">
        <v>8.1</v>
      </c>
      <c r="E206" s="7">
        <f>VLOOKUP(C206,'Taux unitaires'!E:F,2,FALSE)</f>
        <v>1650</v>
      </c>
      <c r="F206" s="6">
        <f t="shared" si="22"/>
        <v>13365</v>
      </c>
      <c r="G206" s="5">
        <f>VLOOKUP(B206,'Durée de vie utile'!$C$1:$E$6,3,FALSE)</f>
        <v>125</v>
      </c>
      <c r="H206" s="5">
        <f>VLOOKUP(B206,'Durée de vie utile'!$C$1:$E$6,2,FALSE)</f>
        <v>90</v>
      </c>
      <c r="I206" s="6">
        <f t="shared" si="23"/>
        <v>148.5</v>
      </c>
      <c r="J206" s="6">
        <f>(F206/(1+'Autres hypothèses'!$D$5))*('Autres hypothèses'!$D$5/(((1+'Autres hypothèses'!$D$5)^'Conduite princ. - égout pluvial'!H206-1)))</f>
        <v>91.345953317929272</v>
      </c>
      <c r="K206" s="5">
        <v>2001</v>
      </c>
      <c r="L206" s="5">
        <f t="shared" si="18"/>
        <v>21</v>
      </c>
      <c r="M206" s="1">
        <f t="shared" si="19"/>
        <v>0.23333333333333334</v>
      </c>
      <c r="N206" s="3">
        <f t="shared" si="20"/>
        <v>3118.5</v>
      </c>
      <c r="O206" s="3">
        <f t="shared" si="21"/>
        <v>10246.5</v>
      </c>
    </row>
    <row r="207" spans="1:15" x14ac:dyDescent="0.25">
      <c r="A207" s="15" t="s">
        <v>926</v>
      </c>
      <c r="B207" s="5" t="s">
        <v>2203</v>
      </c>
      <c r="C207" s="5">
        <v>375</v>
      </c>
      <c r="D207" s="5">
        <v>35.1</v>
      </c>
      <c r="E207" s="7">
        <f>VLOOKUP(C207,'Taux unitaires'!E:F,2,FALSE)</f>
        <v>1650</v>
      </c>
      <c r="F207" s="6">
        <f t="shared" si="22"/>
        <v>57915</v>
      </c>
      <c r="G207" s="5">
        <f>VLOOKUP(B207,'Durée de vie utile'!$C$1:$E$6,3,FALSE)</f>
        <v>100</v>
      </c>
      <c r="H207" s="5">
        <f>VLOOKUP(B207,'Durée de vie utile'!$C$1:$E$6,2,FALSE)</f>
        <v>70</v>
      </c>
      <c r="I207" s="6">
        <f t="shared" si="23"/>
        <v>827.35714285714289</v>
      </c>
      <c r="J207" s="6">
        <f>(F207/(1+'Autres hypothèses'!$D$5))*('Autres hypothèses'!$D$5/(((1+'Autres hypothèses'!$D$5)^'Conduite princ. - égout pluvial'!H207-1)))</f>
        <v>569.56367264145547</v>
      </c>
      <c r="K207" s="5">
        <v>1998</v>
      </c>
      <c r="L207" s="5">
        <f t="shared" si="18"/>
        <v>24</v>
      </c>
      <c r="M207" s="1">
        <f t="shared" si="19"/>
        <v>0.34285714285714286</v>
      </c>
      <c r="N207" s="3">
        <f t="shared" si="20"/>
        <v>19856.571428571428</v>
      </c>
      <c r="O207" s="3">
        <f t="shared" si="21"/>
        <v>38058.428571428572</v>
      </c>
    </row>
    <row r="208" spans="1:15" x14ac:dyDescent="0.25">
      <c r="A208" s="15" t="s">
        <v>927</v>
      </c>
      <c r="B208" s="5" t="s">
        <v>2204</v>
      </c>
      <c r="C208" s="5">
        <v>375</v>
      </c>
      <c r="D208" s="5">
        <v>88.6</v>
      </c>
      <c r="E208" s="7">
        <f>VLOOKUP(C208,'Taux unitaires'!E:F,2,FALSE)</f>
        <v>1650</v>
      </c>
      <c r="F208" s="6">
        <f t="shared" si="22"/>
        <v>146190</v>
      </c>
      <c r="G208" s="5">
        <f>VLOOKUP(B208,'Durée de vie utile'!$C$1:$E$6,3,FALSE)</f>
        <v>125</v>
      </c>
      <c r="H208" s="5">
        <f>VLOOKUP(B208,'Durée de vie utile'!$C$1:$E$6,2,FALSE)</f>
        <v>80</v>
      </c>
      <c r="I208" s="6">
        <f t="shared" si="23"/>
        <v>1827.375</v>
      </c>
      <c r="J208" s="6">
        <f>(F208/(1+'Autres hypothèses'!$D$5))*('Autres hypothèses'!$D$5/(((1+'Autres hypothèses'!$D$5)^'Conduite princ. - égout pluvial'!H208-1)))</f>
        <v>1189.6175227527904</v>
      </c>
      <c r="K208" s="5">
        <v>2001</v>
      </c>
      <c r="L208" s="5">
        <f t="shared" si="18"/>
        <v>21</v>
      </c>
      <c r="M208" s="1">
        <f t="shared" si="19"/>
        <v>0.26250000000000001</v>
      </c>
      <c r="N208" s="3">
        <f t="shared" si="20"/>
        <v>38374.875</v>
      </c>
      <c r="O208" s="3">
        <f t="shared" si="21"/>
        <v>107815.125</v>
      </c>
    </row>
    <row r="209" spans="1:15" x14ac:dyDescent="0.25">
      <c r="A209" s="15" t="s">
        <v>928</v>
      </c>
      <c r="B209" s="5" t="s">
        <v>2205</v>
      </c>
      <c r="C209" s="5">
        <v>375</v>
      </c>
      <c r="D209" s="5">
        <v>49.9</v>
      </c>
      <c r="E209" s="7">
        <f>VLOOKUP(C209,'Taux unitaires'!E:F,2,FALSE)</f>
        <v>1650</v>
      </c>
      <c r="F209" s="6">
        <f t="shared" si="22"/>
        <v>82335</v>
      </c>
      <c r="G209" s="5">
        <f>VLOOKUP(B209,'Durée de vie utile'!$C$1:$E$6,3,FALSE)</f>
        <v>100</v>
      </c>
      <c r="H209" s="5">
        <f>VLOOKUP(B209,'Durée de vie utile'!$C$1:$E$6,2,FALSE)</f>
        <v>70</v>
      </c>
      <c r="I209" s="6">
        <f t="shared" si="23"/>
        <v>1176.2142857142858</v>
      </c>
      <c r="J209" s="6">
        <f>(F209/(1+'Autres hypothèses'!$D$5))*('Autres hypothèses'!$D$5/(((1+'Autres hypothèses'!$D$5)^'Conduite princ. - égout pluvial'!H209-1)))</f>
        <v>809.72157449597228</v>
      </c>
      <c r="K209" s="5">
        <v>1998</v>
      </c>
      <c r="L209" s="5">
        <f t="shared" si="18"/>
        <v>24</v>
      </c>
      <c r="M209" s="1">
        <f t="shared" si="19"/>
        <v>0.34285714285714286</v>
      </c>
      <c r="N209" s="3">
        <f t="shared" si="20"/>
        <v>28229.142857142859</v>
      </c>
      <c r="O209" s="3">
        <f t="shared" si="21"/>
        <v>54105.857142857145</v>
      </c>
    </row>
    <row r="210" spans="1:15" x14ac:dyDescent="0.25">
      <c r="A210" s="15" t="s">
        <v>929</v>
      </c>
      <c r="B210" s="5" t="s">
        <v>2206</v>
      </c>
      <c r="C210" s="5">
        <v>375</v>
      </c>
      <c r="D210" s="5">
        <v>79.099999999999994</v>
      </c>
      <c r="E210" s="7">
        <f>VLOOKUP(C210,'Taux unitaires'!E:F,2,FALSE)</f>
        <v>1650</v>
      </c>
      <c r="F210" s="6">
        <f t="shared" si="22"/>
        <v>130514.99999999999</v>
      </c>
      <c r="G210" s="5">
        <f>VLOOKUP(B210,'Durée de vie utile'!$C$1:$E$6,3,FALSE)</f>
        <v>125</v>
      </c>
      <c r="H210" s="5">
        <f>VLOOKUP(B210,'Durée de vie utile'!$C$1:$E$6,2,FALSE)</f>
        <v>90</v>
      </c>
      <c r="I210" s="6">
        <f t="shared" si="23"/>
        <v>1450.1666666666665</v>
      </c>
      <c r="J210" s="6">
        <f>(F210/(1+'Autres hypothèses'!$D$5))*('Autres hypothèses'!$D$5/(((1+'Autres hypothèses'!$D$5)^'Conduite princ. - égout pluvial'!H210-1)))</f>
        <v>892.03270462323508</v>
      </c>
      <c r="K210" s="5">
        <v>1998</v>
      </c>
      <c r="L210" s="5">
        <f t="shared" si="18"/>
        <v>24</v>
      </c>
      <c r="M210" s="1">
        <f t="shared" si="19"/>
        <v>0.26666666666666666</v>
      </c>
      <c r="N210" s="3">
        <f t="shared" si="20"/>
        <v>34803.999999999993</v>
      </c>
      <c r="O210" s="3">
        <f t="shared" si="21"/>
        <v>95711</v>
      </c>
    </row>
    <row r="211" spans="1:15" x14ac:dyDescent="0.25">
      <c r="A211" s="15" t="s">
        <v>930</v>
      </c>
      <c r="B211" s="5" t="s">
        <v>2207</v>
      </c>
      <c r="C211" s="5">
        <v>750</v>
      </c>
      <c r="D211" s="5">
        <v>21.5</v>
      </c>
      <c r="E211" s="7">
        <f>VLOOKUP(C211,'Taux unitaires'!E:F,2,FALSE)</f>
        <v>1900</v>
      </c>
      <c r="F211" s="6">
        <f t="shared" si="22"/>
        <v>40850</v>
      </c>
      <c r="G211" s="5">
        <f>VLOOKUP(B211,'Durée de vie utile'!$C$1:$E$6,3,FALSE)</f>
        <v>125</v>
      </c>
      <c r="H211" s="5">
        <f>VLOOKUP(B211,'Durée de vie utile'!$C$1:$E$6,2,FALSE)</f>
        <v>80</v>
      </c>
      <c r="I211" s="6">
        <f t="shared" si="23"/>
        <v>510.625</v>
      </c>
      <c r="J211" s="6">
        <f>(F211/(1+'Autres hypothèses'!$D$5))*('Autres hypothèses'!$D$5/(((1+'Autres hypothèses'!$D$5)^'Conduite princ. - égout pluvial'!H211-1)))</f>
        <v>332.41586842090078</v>
      </c>
      <c r="K211" s="5">
        <v>2001</v>
      </c>
      <c r="L211" s="5">
        <f t="shared" si="18"/>
        <v>21</v>
      </c>
      <c r="M211" s="1">
        <f t="shared" si="19"/>
        <v>0.26250000000000001</v>
      </c>
      <c r="N211" s="3">
        <f t="shared" si="20"/>
        <v>10723.125</v>
      </c>
      <c r="O211" s="3">
        <f t="shared" si="21"/>
        <v>30126.875</v>
      </c>
    </row>
    <row r="212" spans="1:15" x14ac:dyDescent="0.25">
      <c r="A212" s="15" t="s">
        <v>931</v>
      </c>
      <c r="B212" s="5" t="s">
        <v>2208</v>
      </c>
      <c r="C212" s="5">
        <v>200</v>
      </c>
      <c r="D212" s="5">
        <v>60.7</v>
      </c>
      <c r="E212" s="7">
        <f>VLOOKUP(C212,'Taux unitaires'!E:F,2,FALSE)</f>
        <v>1550</v>
      </c>
      <c r="F212" s="6">
        <f t="shared" si="22"/>
        <v>94085</v>
      </c>
      <c r="G212" s="5">
        <f>VLOOKUP(B212,'Durée de vie utile'!$C$1:$E$6,3,FALSE)</f>
        <v>125</v>
      </c>
      <c r="H212" s="5">
        <f>VLOOKUP(B212,'Durée de vie utile'!$C$1:$E$6,2,FALSE)</f>
        <v>90</v>
      </c>
      <c r="I212" s="6">
        <f t="shared" si="23"/>
        <v>1045.3888888888889</v>
      </c>
      <c r="J212" s="6">
        <f>(F212/(1+'Autres hypothèses'!$D$5))*('Autres hypothèses'!$D$5/(((1+'Autres hypothèses'!$D$5)^'Conduite princ. - égout pluvial'!H212-1)))</f>
        <v>643.0440716735784</v>
      </c>
      <c r="K212" s="5">
        <v>2001</v>
      </c>
      <c r="L212" s="5">
        <f t="shared" si="18"/>
        <v>21</v>
      </c>
      <c r="M212" s="1">
        <f t="shared" si="19"/>
        <v>0.23333333333333334</v>
      </c>
      <c r="N212" s="3">
        <f t="shared" si="20"/>
        <v>21953.166666666668</v>
      </c>
      <c r="O212" s="3">
        <f t="shared" si="21"/>
        <v>72131.833333333328</v>
      </c>
    </row>
    <row r="213" spans="1:15" x14ac:dyDescent="0.25">
      <c r="A213" s="15" t="s">
        <v>932</v>
      </c>
      <c r="B213" s="5" t="s">
        <v>2209</v>
      </c>
      <c r="C213" s="5">
        <v>250</v>
      </c>
      <c r="D213" s="5">
        <v>82.8</v>
      </c>
      <c r="E213" s="7">
        <f>VLOOKUP(C213,'Taux unitaires'!E:F,2,FALSE)</f>
        <v>1600</v>
      </c>
      <c r="F213" s="6">
        <f t="shared" si="22"/>
        <v>132480</v>
      </c>
      <c r="G213" s="5">
        <f>VLOOKUP(B213,'Durée de vie utile'!$C$1:$E$6,3,FALSE)</f>
        <v>125</v>
      </c>
      <c r="H213" s="5">
        <f>VLOOKUP(B213,'Durée de vie utile'!$C$1:$E$6,2,FALSE)</f>
        <v>90</v>
      </c>
      <c r="I213" s="6">
        <f t="shared" si="23"/>
        <v>1472</v>
      </c>
      <c r="J213" s="6">
        <f>(F213/(1+'Autres hypothèses'!$D$5))*('Autres hypothèses'!$D$5/(((1+'Autres hypothèses'!$D$5)^'Conduite princ. - égout pluvial'!H213-1)))</f>
        <v>905.462917737319</v>
      </c>
      <c r="K213" s="5">
        <v>2001</v>
      </c>
      <c r="L213" s="5">
        <f t="shared" si="18"/>
        <v>21</v>
      </c>
      <c r="M213" s="1">
        <f t="shared" si="19"/>
        <v>0.23333333333333334</v>
      </c>
      <c r="N213" s="3">
        <f t="shared" si="20"/>
        <v>30912</v>
      </c>
      <c r="O213" s="3">
        <f t="shared" si="21"/>
        <v>101568</v>
      </c>
    </row>
    <row r="214" spans="1:15" x14ac:dyDescent="0.25">
      <c r="A214" s="15" t="s">
        <v>933</v>
      </c>
      <c r="B214" s="5" t="s">
        <v>2210</v>
      </c>
      <c r="C214" s="5">
        <v>450</v>
      </c>
      <c r="D214" s="5">
        <v>8.1</v>
      </c>
      <c r="E214" s="7">
        <f>VLOOKUP(C214,'Taux unitaires'!E:F,2,FALSE)</f>
        <v>1700</v>
      </c>
      <c r="F214" s="6">
        <f t="shared" si="22"/>
        <v>13770</v>
      </c>
      <c r="G214" s="5">
        <f>VLOOKUP(B214,'Durée de vie utile'!$C$1:$E$6,3,FALSE)</f>
        <v>125</v>
      </c>
      <c r="H214" s="5">
        <f>VLOOKUP(B214,'Durée de vie utile'!$C$1:$E$6,2,FALSE)</f>
        <v>80</v>
      </c>
      <c r="I214" s="6">
        <f t="shared" si="23"/>
        <v>172.125</v>
      </c>
      <c r="J214" s="6">
        <f>(F214/(1+'Autres hypothèses'!$D$5))*('Autres hypothèses'!$D$5/(((1+'Autres hypothèses'!$D$5)^'Conduite princ. - égout pluvial'!H214-1)))</f>
        <v>112.05303569536852</v>
      </c>
      <c r="K214" s="5">
        <v>1999</v>
      </c>
      <c r="L214" s="5">
        <f t="shared" si="18"/>
        <v>23</v>
      </c>
      <c r="M214" s="1">
        <f t="shared" si="19"/>
        <v>0.28749999999999998</v>
      </c>
      <c r="N214" s="3">
        <f t="shared" si="20"/>
        <v>3958.8749999999995</v>
      </c>
      <c r="O214" s="3">
        <f t="shared" si="21"/>
        <v>9811.125</v>
      </c>
    </row>
    <row r="215" spans="1:15" x14ac:dyDescent="0.25">
      <c r="A215" s="15" t="s">
        <v>934</v>
      </c>
      <c r="B215" s="5" t="s">
        <v>2211</v>
      </c>
      <c r="C215" s="5">
        <v>450</v>
      </c>
      <c r="D215" s="5">
        <v>50.6</v>
      </c>
      <c r="E215" s="7">
        <f>VLOOKUP(C215,'Taux unitaires'!E:F,2,FALSE)</f>
        <v>1700</v>
      </c>
      <c r="F215" s="6">
        <f t="shared" si="22"/>
        <v>86020</v>
      </c>
      <c r="G215" s="5">
        <f>VLOOKUP(B215,'Durée de vie utile'!$C$1:$E$6,3,FALSE)</f>
        <v>125</v>
      </c>
      <c r="H215" s="5">
        <f>VLOOKUP(B215,'Durée de vie utile'!$C$1:$E$6,2,FALSE)</f>
        <v>90</v>
      </c>
      <c r="I215" s="6">
        <f t="shared" si="23"/>
        <v>955.77777777777783</v>
      </c>
      <c r="J215" s="6">
        <f>(F215/(1+'Autres hypothèses'!$D$5))*('Autres hypothèses'!$D$5/(((1+'Autres hypothèses'!$D$5)^'Conduite princ. - égout pluvial'!H215-1)))</f>
        <v>587.92210283638428</v>
      </c>
      <c r="K215" s="5">
        <v>1999</v>
      </c>
      <c r="L215" s="5">
        <f t="shared" si="18"/>
        <v>23</v>
      </c>
      <c r="M215" s="1">
        <f t="shared" si="19"/>
        <v>0.25555555555555554</v>
      </c>
      <c r="N215" s="3">
        <f t="shared" si="20"/>
        <v>21982.888888888887</v>
      </c>
      <c r="O215" s="3">
        <f t="shared" si="21"/>
        <v>64037.111111111109</v>
      </c>
    </row>
    <row r="216" spans="1:15" x14ac:dyDescent="0.25">
      <c r="A216" s="15" t="s">
        <v>935</v>
      </c>
      <c r="B216" s="5" t="s">
        <v>2212</v>
      </c>
      <c r="C216" s="5">
        <v>375</v>
      </c>
      <c r="D216" s="5">
        <v>36.200000000000003</v>
      </c>
      <c r="E216" s="7">
        <f>VLOOKUP(C216,'Taux unitaires'!E:F,2,FALSE)</f>
        <v>1650</v>
      </c>
      <c r="F216" s="6">
        <f t="shared" si="22"/>
        <v>59730.000000000007</v>
      </c>
      <c r="G216" s="5">
        <f>VLOOKUP(B216,'Durée de vie utile'!$C$1:$E$6,3,FALSE)</f>
        <v>125</v>
      </c>
      <c r="H216" s="5">
        <f>VLOOKUP(B216,'Durée de vie utile'!$C$1:$E$6,2,FALSE)</f>
        <v>90</v>
      </c>
      <c r="I216" s="6">
        <f t="shared" si="23"/>
        <v>663.66666666666674</v>
      </c>
      <c r="J216" s="6">
        <f>(F216/(1+'Autres hypothèses'!$D$5))*('Autres hypothèses'!$D$5/(((1+'Autres hypothèses'!$D$5)^'Conduite princ. - égout pluvial'!H216-1)))</f>
        <v>408.23747038383209</v>
      </c>
      <c r="K216" s="5">
        <v>1999</v>
      </c>
      <c r="L216" s="5">
        <f t="shared" si="18"/>
        <v>23</v>
      </c>
      <c r="M216" s="1">
        <f t="shared" si="19"/>
        <v>0.25555555555555554</v>
      </c>
      <c r="N216" s="3">
        <f t="shared" si="20"/>
        <v>15264.333333333334</v>
      </c>
      <c r="O216" s="3">
        <f t="shared" si="21"/>
        <v>44465.666666666672</v>
      </c>
    </row>
    <row r="217" spans="1:15" x14ac:dyDescent="0.25">
      <c r="A217" s="15" t="s">
        <v>936</v>
      </c>
      <c r="B217" s="5" t="s">
        <v>2213</v>
      </c>
      <c r="C217" s="5">
        <v>450</v>
      </c>
      <c r="D217" s="5">
        <v>84.6</v>
      </c>
      <c r="E217" s="7">
        <f>VLOOKUP(C217,'Taux unitaires'!E:F,2,FALSE)</f>
        <v>1700</v>
      </c>
      <c r="F217" s="6">
        <f t="shared" si="22"/>
        <v>143820</v>
      </c>
      <c r="G217" s="5">
        <f>VLOOKUP(B217,'Durée de vie utile'!$C$1:$E$6,3,FALSE)</f>
        <v>100</v>
      </c>
      <c r="H217" s="5">
        <f>VLOOKUP(B217,'Durée de vie utile'!$C$1:$E$6,2,FALSE)</f>
        <v>70</v>
      </c>
      <c r="I217" s="6">
        <f t="shared" si="23"/>
        <v>2054.5714285714284</v>
      </c>
      <c r="J217" s="6">
        <f>(F217/(1+'Autres hypothèses'!$D$5))*('Autres hypothèses'!$D$5/(((1+'Autres hypothèses'!$D$5)^'Conduite princ. - égout pluvial'!H217-1)))</f>
        <v>1414.3943261554714</v>
      </c>
      <c r="K217" s="5">
        <v>1999</v>
      </c>
      <c r="L217" s="5">
        <f t="shared" si="18"/>
        <v>23</v>
      </c>
      <c r="M217" s="1">
        <f t="shared" si="19"/>
        <v>0.32857142857142857</v>
      </c>
      <c r="N217" s="3">
        <f t="shared" si="20"/>
        <v>47255.142857142855</v>
      </c>
      <c r="O217" s="3">
        <f t="shared" si="21"/>
        <v>96564.857142857145</v>
      </c>
    </row>
    <row r="218" spans="1:15" x14ac:dyDescent="0.25">
      <c r="A218" s="15" t="s">
        <v>937</v>
      </c>
      <c r="B218" s="5" t="s">
        <v>2214</v>
      </c>
      <c r="C218" s="5">
        <v>200</v>
      </c>
      <c r="D218" s="5">
        <v>25.400000000000002</v>
      </c>
      <c r="E218" s="7">
        <f>VLOOKUP(C218,'Taux unitaires'!E:F,2,FALSE)</f>
        <v>1550</v>
      </c>
      <c r="F218" s="6">
        <f t="shared" si="22"/>
        <v>39370</v>
      </c>
      <c r="G218" s="5">
        <f>VLOOKUP(B218,'Durée de vie utile'!$C$1:$E$6,3,FALSE)</f>
        <v>100</v>
      </c>
      <c r="H218" s="5">
        <f>VLOOKUP(B218,'Durée de vie utile'!$C$1:$E$6,2,FALSE)</f>
        <v>70</v>
      </c>
      <c r="I218" s="6">
        <f t="shared" si="23"/>
        <v>562.42857142857144</v>
      </c>
      <c r="J218" s="6">
        <f>(F218/(1+'Autres hypothèses'!$D$5))*('Autres hypothèses'!$D$5/(((1+'Autres hypothèses'!$D$5)^'Conduite princ. - égout pluvial'!H218-1)))</f>
        <v>387.18331679002159</v>
      </c>
      <c r="K218" s="5">
        <v>2000</v>
      </c>
      <c r="L218" s="5">
        <f t="shared" si="18"/>
        <v>22</v>
      </c>
      <c r="M218" s="1">
        <f t="shared" si="19"/>
        <v>0.31428571428571428</v>
      </c>
      <c r="N218" s="3">
        <f t="shared" si="20"/>
        <v>12373.428571428571</v>
      </c>
      <c r="O218" s="3">
        <f t="shared" si="21"/>
        <v>26996.571428571428</v>
      </c>
    </row>
    <row r="219" spans="1:15" x14ac:dyDescent="0.25">
      <c r="A219" s="15" t="s">
        <v>938</v>
      </c>
      <c r="B219" s="5" t="s">
        <v>2215</v>
      </c>
      <c r="C219" s="5">
        <v>200</v>
      </c>
      <c r="D219" s="5">
        <v>88.199999999999989</v>
      </c>
      <c r="E219" s="7">
        <f>VLOOKUP(C219,'Taux unitaires'!E:F,2,FALSE)</f>
        <v>1550</v>
      </c>
      <c r="F219" s="6">
        <f t="shared" si="22"/>
        <v>136709.99999999997</v>
      </c>
      <c r="G219" s="5">
        <f>VLOOKUP(B219,'Durée de vie utile'!$C$1:$E$6,3,FALSE)</f>
        <v>125</v>
      </c>
      <c r="H219" s="5">
        <f>VLOOKUP(B219,'Durée de vie utile'!$C$1:$E$6,2,FALSE)</f>
        <v>90</v>
      </c>
      <c r="I219" s="6">
        <f t="shared" si="23"/>
        <v>1518.9999999999998</v>
      </c>
      <c r="J219" s="6">
        <f>(F219/(1+'Autres hypothèses'!$D$5))*('Autres hypothèses'!$D$5/(((1+'Autres hypothèses'!$D$5)^'Conduite princ. - égout pluvial'!H219-1)))</f>
        <v>934.3737581813773</v>
      </c>
      <c r="K219" s="5">
        <v>2001</v>
      </c>
      <c r="L219" s="5">
        <f t="shared" si="18"/>
        <v>21</v>
      </c>
      <c r="M219" s="1">
        <f t="shared" si="19"/>
        <v>0.23333333333333334</v>
      </c>
      <c r="N219" s="3">
        <f t="shared" si="20"/>
        <v>31898.999999999993</v>
      </c>
      <c r="O219" s="3">
        <f t="shared" si="21"/>
        <v>104810.99999999997</v>
      </c>
    </row>
    <row r="220" spans="1:15" x14ac:dyDescent="0.25">
      <c r="A220" s="15" t="s">
        <v>939</v>
      </c>
      <c r="B220" s="5" t="s">
        <v>2216</v>
      </c>
      <c r="C220" s="5">
        <v>200</v>
      </c>
      <c r="D220" s="5">
        <v>96.3</v>
      </c>
      <c r="E220" s="7">
        <f>VLOOKUP(C220,'Taux unitaires'!E:F,2,FALSE)</f>
        <v>1550</v>
      </c>
      <c r="F220" s="6">
        <f t="shared" si="22"/>
        <v>149265</v>
      </c>
      <c r="G220" s="5">
        <f>VLOOKUP(B220,'Durée de vie utile'!$C$1:$E$6,3,FALSE)</f>
        <v>125</v>
      </c>
      <c r="H220" s="5">
        <f>VLOOKUP(B220,'Durée de vie utile'!$C$1:$E$6,2,FALSE)</f>
        <v>90</v>
      </c>
      <c r="I220" s="6">
        <f t="shared" si="23"/>
        <v>1658.5</v>
      </c>
      <c r="J220" s="6">
        <f>(F220/(1+'Autres hypothèses'!$D$5))*('Autres hypothèses'!$D$5/(((1+'Autres hypothèses'!$D$5)^'Conduite princ. - égout pluvial'!H220-1)))</f>
        <v>1020.183593116402</v>
      </c>
      <c r="K220" s="5">
        <v>2001</v>
      </c>
      <c r="L220" s="5">
        <f t="shared" si="18"/>
        <v>21</v>
      </c>
      <c r="M220" s="1">
        <f t="shared" si="19"/>
        <v>0.23333333333333334</v>
      </c>
      <c r="N220" s="3">
        <f t="shared" si="20"/>
        <v>34828.5</v>
      </c>
      <c r="O220" s="3">
        <f t="shared" si="21"/>
        <v>114436.5</v>
      </c>
    </row>
    <row r="221" spans="1:15" x14ac:dyDescent="0.25">
      <c r="A221" s="15" t="s">
        <v>940</v>
      </c>
      <c r="B221" s="5" t="s">
        <v>2217</v>
      </c>
      <c r="C221" s="5">
        <v>750</v>
      </c>
      <c r="D221" s="5">
        <v>66.099999999999994</v>
      </c>
      <c r="E221" s="7">
        <f>VLOOKUP(C221,'Taux unitaires'!E:F,2,FALSE)</f>
        <v>1900</v>
      </c>
      <c r="F221" s="6">
        <f t="shared" si="22"/>
        <v>125589.99999999999</v>
      </c>
      <c r="G221" s="5">
        <f>VLOOKUP(B221,'Durée de vie utile'!$C$1:$E$6,3,FALSE)</f>
        <v>125</v>
      </c>
      <c r="H221" s="5">
        <f>VLOOKUP(B221,'Durée de vie utile'!$C$1:$E$6,2,FALSE)</f>
        <v>90</v>
      </c>
      <c r="I221" s="6">
        <f t="shared" si="23"/>
        <v>1395.4444444444443</v>
      </c>
      <c r="J221" s="6">
        <f>(F221/(1+'Autres hypothèses'!$D$5))*('Autres hypothèses'!$D$5/(((1+'Autres hypothèses'!$D$5)^'Conduite princ. - égout pluvial'!H221-1)))</f>
        <v>858.3717379123633</v>
      </c>
      <c r="K221" s="5">
        <v>2004</v>
      </c>
      <c r="L221" s="5">
        <f t="shared" si="18"/>
        <v>18</v>
      </c>
      <c r="M221" s="1">
        <f t="shared" si="19"/>
        <v>0.2</v>
      </c>
      <c r="N221" s="3">
        <f t="shared" si="20"/>
        <v>25118</v>
      </c>
      <c r="O221" s="3">
        <f t="shared" si="21"/>
        <v>100471.99999999999</v>
      </c>
    </row>
    <row r="222" spans="1:15" x14ac:dyDescent="0.25">
      <c r="A222" s="15" t="s">
        <v>941</v>
      </c>
      <c r="B222" s="5" t="s">
        <v>2218</v>
      </c>
      <c r="C222" s="5">
        <v>250</v>
      </c>
      <c r="D222" s="5">
        <v>36.300000000000004</v>
      </c>
      <c r="E222" s="7">
        <f>VLOOKUP(C222,'Taux unitaires'!E:F,2,FALSE)</f>
        <v>1600</v>
      </c>
      <c r="F222" s="6">
        <f t="shared" si="22"/>
        <v>58080.000000000007</v>
      </c>
      <c r="G222" s="5">
        <f>VLOOKUP(B222,'Durée de vie utile'!$C$1:$E$6,3,FALSE)</f>
        <v>125</v>
      </c>
      <c r="H222" s="5">
        <f>VLOOKUP(B222,'Durée de vie utile'!$C$1:$E$6,2,FALSE)</f>
        <v>90</v>
      </c>
      <c r="I222" s="6">
        <f t="shared" si="23"/>
        <v>645.33333333333337</v>
      </c>
      <c r="J222" s="6">
        <f>(F222/(1+'Autres hypothèses'!$D$5))*('Autres hypothèses'!$D$5/(((1+'Autres hypothèses'!$D$5)^'Conduite princ. - égout pluvial'!H222-1)))</f>
        <v>396.96019219643341</v>
      </c>
      <c r="K222" s="5">
        <v>2003</v>
      </c>
      <c r="L222" s="5">
        <f t="shared" si="18"/>
        <v>19</v>
      </c>
      <c r="M222" s="1">
        <f t="shared" si="19"/>
        <v>0.21111111111111111</v>
      </c>
      <c r="N222" s="3">
        <f t="shared" si="20"/>
        <v>12261.333333333334</v>
      </c>
      <c r="O222" s="3">
        <f t="shared" si="21"/>
        <v>45818.666666666672</v>
      </c>
    </row>
    <row r="223" spans="1:15" x14ac:dyDescent="0.25">
      <c r="A223" s="15" t="s">
        <v>942</v>
      </c>
      <c r="B223" s="5" t="s">
        <v>2219</v>
      </c>
      <c r="C223" s="5">
        <v>450</v>
      </c>
      <c r="D223" s="5">
        <v>70.5</v>
      </c>
      <c r="E223" s="7">
        <f>VLOOKUP(C223,'Taux unitaires'!E:F,2,FALSE)</f>
        <v>1700</v>
      </c>
      <c r="F223" s="6">
        <f t="shared" si="22"/>
        <v>119850</v>
      </c>
      <c r="G223" s="5">
        <f>VLOOKUP(B223,'Durée de vie utile'!$C$1:$E$6,3,FALSE)</f>
        <v>125</v>
      </c>
      <c r="H223" s="5">
        <f>VLOOKUP(B223,'Durée de vie utile'!$C$1:$E$6,2,FALSE)</f>
        <v>90</v>
      </c>
      <c r="I223" s="6">
        <f t="shared" si="23"/>
        <v>1331.6666666666667</v>
      </c>
      <c r="J223" s="6">
        <f>(F223/(1+'Autres hypothèses'!$D$5))*('Autres hypothèses'!$D$5/(((1+'Autres hypothèses'!$D$5)^'Conduite princ. - égout pluvial'!H223-1)))</f>
        <v>819.14047924832198</v>
      </c>
      <c r="K223" s="5">
        <v>2005</v>
      </c>
      <c r="L223" s="5">
        <f t="shared" si="18"/>
        <v>17</v>
      </c>
      <c r="M223" s="1">
        <f t="shared" si="19"/>
        <v>0.18888888888888888</v>
      </c>
      <c r="N223" s="3">
        <f t="shared" si="20"/>
        <v>22638.333333333332</v>
      </c>
      <c r="O223" s="3">
        <f t="shared" si="21"/>
        <v>97211.666666666672</v>
      </c>
    </row>
    <row r="224" spans="1:15" x14ac:dyDescent="0.25">
      <c r="A224" s="15" t="s">
        <v>943</v>
      </c>
      <c r="B224" s="5" t="s">
        <v>2220</v>
      </c>
      <c r="C224" s="5">
        <v>450</v>
      </c>
      <c r="D224" s="5">
        <v>31.1</v>
      </c>
      <c r="E224" s="7">
        <f>VLOOKUP(C224,'Taux unitaires'!E:F,2,FALSE)</f>
        <v>1700</v>
      </c>
      <c r="F224" s="6">
        <f t="shared" si="22"/>
        <v>52870</v>
      </c>
      <c r="G224" s="5">
        <f>VLOOKUP(B224,'Durée de vie utile'!$C$1:$E$6,3,FALSE)</f>
        <v>125</v>
      </c>
      <c r="H224" s="5">
        <f>VLOOKUP(B224,'Durée de vie utile'!$C$1:$E$6,2,FALSE)</f>
        <v>90</v>
      </c>
      <c r="I224" s="6">
        <f t="shared" si="23"/>
        <v>587.44444444444446</v>
      </c>
      <c r="J224" s="6">
        <f>(F224/(1+'Autres hypothèses'!$D$5))*('Autres hypothèses'!$D$5/(((1+'Autres hypothèses'!$D$5)^'Conduite princ. - égout pluvial'!H224-1)))</f>
        <v>361.35133198046537</v>
      </c>
      <c r="K224" s="5">
        <v>2003</v>
      </c>
      <c r="L224" s="5">
        <f t="shared" si="18"/>
        <v>19</v>
      </c>
      <c r="M224" s="1">
        <f t="shared" si="19"/>
        <v>0.21111111111111111</v>
      </c>
      <c r="N224" s="3">
        <f t="shared" si="20"/>
        <v>11161.444444444445</v>
      </c>
      <c r="O224" s="3">
        <f t="shared" si="21"/>
        <v>41708.555555555555</v>
      </c>
    </row>
    <row r="225" spans="1:15" x14ac:dyDescent="0.25">
      <c r="A225" s="15" t="s">
        <v>944</v>
      </c>
      <c r="B225" s="5" t="s">
        <v>2221</v>
      </c>
      <c r="C225" s="5">
        <v>450</v>
      </c>
      <c r="D225" s="5">
        <v>3.3000000000000003</v>
      </c>
      <c r="E225" s="7">
        <f>VLOOKUP(C225,'Taux unitaires'!E:F,2,FALSE)</f>
        <v>1700</v>
      </c>
      <c r="F225" s="6">
        <f t="shared" si="22"/>
        <v>5610</v>
      </c>
      <c r="G225" s="5">
        <f>VLOOKUP(B225,'Durée de vie utile'!$C$1:$E$6,3,FALSE)</f>
        <v>125</v>
      </c>
      <c r="H225" s="5">
        <f>VLOOKUP(B225,'Durée de vie utile'!$C$1:$E$6,2,FALSE)</f>
        <v>90</v>
      </c>
      <c r="I225" s="6">
        <f t="shared" si="23"/>
        <v>62.333333333333336</v>
      </c>
      <c r="J225" s="6">
        <f>(F225/(1+'Autres hypothèses'!$D$5))*('Autres hypothèses'!$D$5/(((1+'Autres hypothèses'!$D$5)^'Conduite princ. - égout pluvial'!H225-1)))</f>
        <v>38.342745837155491</v>
      </c>
      <c r="K225" s="5">
        <v>2003</v>
      </c>
      <c r="L225" s="5">
        <f t="shared" si="18"/>
        <v>19</v>
      </c>
      <c r="M225" s="1">
        <f t="shared" si="19"/>
        <v>0.21111111111111111</v>
      </c>
      <c r="N225" s="3">
        <f t="shared" si="20"/>
        <v>1184.3333333333333</v>
      </c>
      <c r="O225" s="3">
        <f t="shared" si="21"/>
        <v>4425.666666666667</v>
      </c>
    </row>
    <row r="226" spans="1:15" x14ac:dyDescent="0.25">
      <c r="A226" s="15" t="s">
        <v>945</v>
      </c>
      <c r="B226" s="5" t="s">
        <v>2222</v>
      </c>
      <c r="C226" s="5">
        <v>450</v>
      </c>
      <c r="D226" s="5">
        <v>60.5</v>
      </c>
      <c r="E226" s="7">
        <f>VLOOKUP(C226,'Taux unitaires'!E:F,2,FALSE)</f>
        <v>1700</v>
      </c>
      <c r="F226" s="6">
        <f t="shared" si="22"/>
        <v>102850</v>
      </c>
      <c r="G226" s="5">
        <f>VLOOKUP(B226,'Durée de vie utile'!$C$1:$E$6,3,FALSE)</f>
        <v>125</v>
      </c>
      <c r="H226" s="5">
        <f>VLOOKUP(B226,'Durée de vie utile'!$C$1:$E$6,2,FALSE)</f>
        <v>90</v>
      </c>
      <c r="I226" s="6">
        <f t="shared" si="23"/>
        <v>1142.7777777777778</v>
      </c>
      <c r="J226" s="6">
        <f>(F226/(1+'Autres hypothèses'!$D$5))*('Autres hypothèses'!$D$5/(((1+'Autres hypothèses'!$D$5)^'Conduite princ. - égout pluvial'!H226-1)))</f>
        <v>702.95034034785067</v>
      </c>
      <c r="K226" s="5">
        <v>2003</v>
      </c>
      <c r="L226" s="5">
        <f t="shared" si="18"/>
        <v>19</v>
      </c>
      <c r="M226" s="1">
        <f t="shared" si="19"/>
        <v>0.21111111111111111</v>
      </c>
      <c r="N226" s="3">
        <f t="shared" si="20"/>
        <v>21712.777777777777</v>
      </c>
      <c r="O226" s="3">
        <f t="shared" si="21"/>
        <v>81137.222222222219</v>
      </c>
    </row>
    <row r="227" spans="1:15" x14ac:dyDescent="0.25">
      <c r="A227" s="15" t="s">
        <v>946</v>
      </c>
      <c r="B227" s="5" t="s">
        <v>2223</v>
      </c>
      <c r="C227" s="5">
        <v>450</v>
      </c>
      <c r="D227" s="5">
        <v>84.3</v>
      </c>
      <c r="E227" s="7">
        <f>VLOOKUP(C227,'Taux unitaires'!E:F,2,FALSE)</f>
        <v>1700</v>
      </c>
      <c r="F227" s="6">
        <f t="shared" si="22"/>
        <v>143310</v>
      </c>
      <c r="G227" s="5">
        <f>VLOOKUP(B227,'Durée de vie utile'!$C$1:$E$6,3,FALSE)</f>
        <v>125</v>
      </c>
      <c r="H227" s="5">
        <f>VLOOKUP(B227,'Durée de vie utile'!$C$1:$E$6,2,FALSE)</f>
        <v>90</v>
      </c>
      <c r="I227" s="6">
        <f t="shared" si="23"/>
        <v>1592.3333333333333</v>
      </c>
      <c r="J227" s="6">
        <f>(F227/(1+'Autres hypothèses'!$D$5))*('Autres hypothèses'!$D$5/(((1+'Autres hypothèses'!$D$5)^'Conduite princ. - égout pluvial'!H227-1)))</f>
        <v>979.48287093097213</v>
      </c>
      <c r="K227" s="5">
        <v>2005</v>
      </c>
      <c r="L227" s="5">
        <f t="shared" si="18"/>
        <v>17</v>
      </c>
      <c r="M227" s="1">
        <f t="shared" si="19"/>
        <v>0.18888888888888888</v>
      </c>
      <c r="N227" s="3">
        <f t="shared" si="20"/>
        <v>27069.666666666664</v>
      </c>
      <c r="O227" s="3">
        <f t="shared" si="21"/>
        <v>116240.33333333334</v>
      </c>
    </row>
    <row r="228" spans="1:15" x14ac:dyDescent="0.25">
      <c r="A228" s="15" t="s">
        <v>947</v>
      </c>
      <c r="B228" s="5" t="s">
        <v>2224</v>
      </c>
      <c r="C228" s="5">
        <v>200</v>
      </c>
      <c r="D228" s="5">
        <v>31.1</v>
      </c>
      <c r="E228" s="7">
        <f>VLOOKUP(C228,'Taux unitaires'!E:F,2,FALSE)</f>
        <v>1550</v>
      </c>
      <c r="F228" s="6">
        <f t="shared" si="22"/>
        <v>48205</v>
      </c>
      <c r="G228" s="5">
        <f>VLOOKUP(B228,'Durée de vie utile'!$C$1:$E$6,3,FALSE)</f>
        <v>125</v>
      </c>
      <c r="H228" s="5">
        <f>VLOOKUP(B228,'Durée de vie utile'!$C$1:$E$6,2,FALSE)</f>
        <v>90</v>
      </c>
      <c r="I228" s="6">
        <f t="shared" si="23"/>
        <v>535.61111111111109</v>
      </c>
      <c r="J228" s="6">
        <f>(F228/(1+'Autres hypothèses'!$D$5))*('Autres hypothèses'!$D$5/(((1+'Autres hypothèses'!$D$5)^'Conduite princ. - égout pluvial'!H228-1)))</f>
        <v>329.46739092336554</v>
      </c>
      <c r="K228" s="5">
        <v>2005</v>
      </c>
      <c r="L228" s="5">
        <f t="shared" si="18"/>
        <v>17</v>
      </c>
      <c r="M228" s="1">
        <f t="shared" si="19"/>
        <v>0.18888888888888888</v>
      </c>
      <c r="N228" s="3">
        <f t="shared" si="20"/>
        <v>9105.3888888888887</v>
      </c>
      <c r="O228" s="3">
        <f t="shared" si="21"/>
        <v>39099.611111111109</v>
      </c>
    </row>
    <row r="229" spans="1:15" x14ac:dyDescent="0.25">
      <c r="A229" s="15" t="s">
        <v>948</v>
      </c>
      <c r="B229" s="5" t="s">
        <v>2225</v>
      </c>
      <c r="C229" s="5">
        <v>200</v>
      </c>
      <c r="D229" s="5">
        <v>93.899999999999991</v>
      </c>
      <c r="E229" s="7">
        <f>VLOOKUP(C229,'Taux unitaires'!E:F,2,FALSE)</f>
        <v>1550</v>
      </c>
      <c r="F229" s="6">
        <f t="shared" si="22"/>
        <v>145545</v>
      </c>
      <c r="G229" s="5">
        <f>VLOOKUP(B229,'Durée de vie utile'!$C$1:$E$6,3,FALSE)</f>
        <v>125</v>
      </c>
      <c r="H229" s="5">
        <f>VLOOKUP(B229,'Durée de vie utile'!$C$1:$E$6,2,FALSE)</f>
        <v>90</v>
      </c>
      <c r="I229" s="6">
        <f t="shared" si="23"/>
        <v>1617.1666666666667</v>
      </c>
      <c r="J229" s="6">
        <f>(F229/(1+'Autres hypothèses'!$D$5))*('Autres hypothèses'!$D$5/(((1+'Autres hypothèses'!$D$5)^'Conduite princ. - égout pluvial'!H229-1)))</f>
        <v>994.75845683935756</v>
      </c>
      <c r="K229" s="5">
        <v>2009</v>
      </c>
      <c r="L229" s="5">
        <f t="shared" si="18"/>
        <v>13</v>
      </c>
      <c r="M229" s="1">
        <f t="shared" si="19"/>
        <v>0.14444444444444443</v>
      </c>
      <c r="N229" s="3">
        <f t="shared" si="20"/>
        <v>21023.166666666664</v>
      </c>
      <c r="O229" s="3">
        <f t="shared" si="21"/>
        <v>124521.83333333334</v>
      </c>
    </row>
    <row r="230" spans="1:15" x14ac:dyDescent="0.25">
      <c r="A230" s="15" t="s">
        <v>949</v>
      </c>
      <c r="B230" s="5" t="s">
        <v>2226</v>
      </c>
      <c r="C230" s="5">
        <v>450</v>
      </c>
      <c r="D230" s="5">
        <v>66.3</v>
      </c>
      <c r="E230" s="7">
        <f>VLOOKUP(C230,'Taux unitaires'!E:F,2,FALSE)</f>
        <v>1700</v>
      </c>
      <c r="F230" s="6">
        <f t="shared" si="22"/>
        <v>112710</v>
      </c>
      <c r="G230" s="5">
        <f>VLOOKUP(B230,'Durée de vie utile'!$C$1:$E$6,3,FALSE)</f>
        <v>125</v>
      </c>
      <c r="H230" s="5">
        <f>VLOOKUP(B230,'Durée de vie utile'!$C$1:$E$6,2,FALSE)</f>
        <v>90</v>
      </c>
      <c r="I230" s="6">
        <f t="shared" si="23"/>
        <v>1252.3333333333333</v>
      </c>
      <c r="J230" s="6">
        <f>(F230/(1+'Autres hypothèses'!$D$5))*('Autres hypothèses'!$D$5/(((1+'Autres hypothèses'!$D$5)^'Conduite princ. - égout pluvial'!H230-1)))</f>
        <v>770.34062091012402</v>
      </c>
      <c r="K230" s="5">
        <v>2009</v>
      </c>
      <c r="L230" s="5">
        <f t="shared" si="18"/>
        <v>13</v>
      </c>
      <c r="M230" s="1">
        <f t="shared" si="19"/>
        <v>0.14444444444444443</v>
      </c>
      <c r="N230" s="3">
        <f t="shared" si="20"/>
        <v>16280.333333333332</v>
      </c>
      <c r="O230" s="3">
        <f t="shared" si="21"/>
        <v>96429.666666666672</v>
      </c>
    </row>
    <row r="231" spans="1:15" x14ac:dyDescent="0.25">
      <c r="A231" s="15" t="s">
        <v>950</v>
      </c>
      <c r="B231" s="5" t="s">
        <v>2227</v>
      </c>
      <c r="C231" s="5">
        <v>200</v>
      </c>
      <c r="D231" s="5">
        <v>61.300000000000004</v>
      </c>
      <c r="E231" s="7">
        <f>VLOOKUP(C231,'Taux unitaires'!E:F,2,FALSE)</f>
        <v>1550</v>
      </c>
      <c r="F231" s="6">
        <f t="shared" si="22"/>
        <v>95015</v>
      </c>
      <c r="G231" s="5">
        <f>VLOOKUP(B231,'Durée de vie utile'!$C$1:$E$6,3,FALSE)</f>
        <v>125</v>
      </c>
      <c r="H231" s="5">
        <f>VLOOKUP(B231,'Durée de vie utile'!$C$1:$E$6,2,FALSE)</f>
        <v>90</v>
      </c>
      <c r="I231" s="6">
        <f t="shared" si="23"/>
        <v>1055.7222222222222</v>
      </c>
      <c r="J231" s="6">
        <f>(F231/(1+'Autres hypothèses'!$D$5))*('Autres hypothèses'!$D$5/(((1+'Autres hypothèses'!$D$5)^'Conduite princ. - égout pluvial'!H231-1)))</f>
        <v>649.40035574283945</v>
      </c>
      <c r="K231" s="5">
        <v>2009</v>
      </c>
      <c r="L231" s="5">
        <f t="shared" si="18"/>
        <v>13</v>
      </c>
      <c r="M231" s="1">
        <f t="shared" si="19"/>
        <v>0.14444444444444443</v>
      </c>
      <c r="N231" s="3">
        <f t="shared" si="20"/>
        <v>13724.388888888887</v>
      </c>
      <c r="O231" s="3">
        <f t="shared" si="21"/>
        <v>81290.611111111109</v>
      </c>
    </row>
    <row r="232" spans="1:15" x14ac:dyDescent="0.25">
      <c r="A232" s="15" t="s">
        <v>951</v>
      </c>
      <c r="B232" s="5" t="s">
        <v>2228</v>
      </c>
      <c r="C232" s="5">
        <v>375</v>
      </c>
      <c r="D232" s="5">
        <v>83.199999999999989</v>
      </c>
      <c r="E232" s="7">
        <f>VLOOKUP(C232,'Taux unitaires'!E:F,2,FALSE)</f>
        <v>1650</v>
      </c>
      <c r="F232" s="6">
        <f t="shared" si="22"/>
        <v>137279.99999999997</v>
      </c>
      <c r="G232" s="5">
        <f>VLOOKUP(B232,'Durée de vie utile'!$C$1:$E$6,3,FALSE)</f>
        <v>125</v>
      </c>
      <c r="H232" s="5">
        <f>VLOOKUP(B232,'Durée de vie utile'!$C$1:$E$6,2,FALSE)</f>
        <v>90</v>
      </c>
      <c r="I232" s="6">
        <f t="shared" si="23"/>
        <v>1525.333333333333</v>
      </c>
      <c r="J232" s="6">
        <f>(F232/(1+'Autres hypothèses'!$D$5))*('Autres hypothèses'!$D$5/(((1+'Autres hypothèses'!$D$5)^'Conduite princ. - égout pluvial'!H232-1)))</f>
        <v>938.26954519156959</v>
      </c>
      <c r="K232" s="5">
        <v>2009</v>
      </c>
      <c r="L232" s="5">
        <f t="shared" si="18"/>
        <v>13</v>
      </c>
      <c r="M232" s="1">
        <f t="shared" si="19"/>
        <v>0.14444444444444443</v>
      </c>
      <c r="N232" s="3">
        <f t="shared" si="20"/>
        <v>19829.333333333328</v>
      </c>
      <c r="O232" s="3">
        <f t="shared" si="21"/>
        <v>117450.66666666664</v>
      </c>
    </row>
    <row r="233" spans="1:15" x14ac:dyDescent="0.25">
      <c r="A233" s="15" t="s">
        <v>952</v>
      </c>
      <c r="B233" s="5" t="s">
        <v>2229</v>
      </c>
      <c r="C233" s="5">
        <v>250</v>
      </c>
      <c r="D233" s="5">
        <v>67.099999999999994</v>
      </c>
      <c r="E233" s="7">
        <f>VLOOKUP(C233,'Taux unitaires'!E:F,2,FALSE)</f>
        <v>1600</v>
      </c>
      <c r="F233" s="6">
        <f t="shared" si="22"/>
        <v>107359.99999999999</v>
      </c>
      <c r="G233" s="5">
        <f>VLOOKUP(B233,'Durée de vie utile'!$C$1:$E$6,3,FALSE)</f>
        <v>125</v>
      </c>
      <c r="H233" s="5">
        <f>VLOOKUP(B233,'Durée de vie utile'!$C$1:$E$6,2,FALSE)</f>
        <v>90</v>
      </c>
      <c r="I233" s="6">
        <f t="shared" si="23"/>
        <v>1192.8888888888887</v>
      </c>
      <c r="J233" s="6">
        <f>(F233/(1+'Autres hypothèses'!$D$5))*('Autres hypothèses'!$D$5/(((1+'Autres hypothèses'!$D$5)^'Conduite princ. - égout pluvial'!H233-1)))</f>
        <v>733.77490072674027</v>
      </c>
      <c r="K233" s="5">
        <v>2010</v>
      </c>
      <c r="L233" s="5">
        <f t="shared" si="18"/>
        <v>12</v>
      </c>
      <c r="M233" s="1">
        <f t="shared" si="19"/>
        <v>0.13333333333333333</v>
      </c>
      <c r="N233" s="3">
        <f t="shared" si="20"/>
        <v>14314.666666666664</v>
      </c>
      <c r="O233" s="3">
        <f t="shared" si="21"/>
        <v>93045.333333333314</v>
      </c>
    </row>
    <row r="234" spans="1:15" x14ac:dyDescent="0.25">
      <c r="A234" s="15" t="s">
        <v>953</v>
      </c>
      <c r="B234" s="5" t="s">
        <v>2230</v>
      </c>
      <c r="C234" s="5">
        <v>200</v>
      </c>
      <c r="D234" s="5">
        <v>60.9</v>
      </c>
      <c r="E234" s="7">
        <f>VLOOKUP(C234,'Taux unitaires'!E:F,2,FALSE)</f>
        <v>1550</v>
      </c>
      <c r="F234" s="6">
        <f t="shared" si="22"/>
        <v>94395</v>
      </c>
      <c r="G234" s="5">
        <f>VLOOKUP(B234,'Durée de vie utile'!$C$1:$E$6,3,FALSE)</f>
        <v>125</v>
      </c>
      <c r="H234" s="5">
        <f>VLOOKUP(B234,'Durée de vie utile'!$C$1:$E$6,2,FALSE)</f>
        <v>90</v>
      </c>
      <c r="I234" s="6">
        <f t="shared" si="23"/>
        <v>1048.8333333333333</v>
      </c>
      <c r="J234" s="6">
        <f>(F234/(1+'Autres hypothèses'!$D$5))*('Autres hypothèses'!$D$5/(((1+'Autres hypothèses'!$D$5)^'Conduite princ. - égout pluvial'!H234-1)))</f>
        <v>645.16283302999875</v>
      </c>
      <c r="K234" s="5">
        <v>2005</v>
      </c>
      <c r="L234" s="5">
        <f t="shared" si="18"/>
        <v>17</v>
      </c>
      <c r="M234" s="1">
        <f t="shared" si="19"/>
        <v>0.18888888888888888</v>
      </c>
      <c r="N234" s="3">
        <f t="shared" si="20"/>
        <v>17830.166666666668</v>
      </c>
      <c r="O234" s="3">
        <f t="shared" si="21"/>
        <v>76564.833333333328</v>
      </c>
    </row>
    <row r="235" spans="1:15" x14ac:dyDescent="0.25">
      <c r="A235" s="15" t="s">
        <v>954</v>
      </c>
      <c r="B235" s="5" t="s">
        <v>2231</v>
      </c>
      <c r="C235" s="5">
        <v>250</v>
      </c>
      <c r="D235" s="5">
        <v>57.300000000000004</v>
      </c>
      <c r="E235" s="7">
        <f>VLOOKUP(C235,'Taux unitaires'!E:F,2,FALSE)</f>
        <v>1600</v>
      </c>
      <c r="F235" s="6">
        <f t="shared" si="22"/>
        <v>91680</v>
      </c>
      <c r="G235" s="5">
        <f>VLOOKUP(B235,'Durée de vie utile'!$C$1:$E$6,3,FALSE)</f>
        <v>125</v>
      </c>
      <c r="H235" s="5">
        <f>VLOOKUP(B235,'Durée de vie utile'!$C$1:$E$6,2,FALSE)</f>
        <v>90</v>
      </c>
      <c r="I235" s="6">
        <f t="shared" si="23"/>
        <v>1018.6666666666666</v>
      </c>
      <c r="J235" s="6">
        <f>(F235/(1+'Autres hypothèses'!$D$5))*('Autres hypothèses'!$D$5/(((1+'Autres hypothèses'!$D$5)^'Conduite princ. - égout pluvial'!H235-1)))</f>
        <v>626.60658437618827</v>
      </c>
      <c r="K235" s="5">
        <v>2012</v>
      </c>
      <c r="L235" s="5">
        <f t="shared" si="18"/>
        <v>10</v>
      </c>
      <c r="M235" s="1">
        <f t="shared" si="19"/>
        <v>0.1111111111111111</v>
      </c>
      <c r="N235" s="3">
        <f t="shared" si="20"/>
        <v>10186.666666666666</v>
      </c>
      <c r="O235" s="3">
        <f t="shared" si="21"/>
        <v>81493.333333333328</v>
      </c>
    </row>
    <row r="236" spans="1:15" x14ac:dyDescent="0.25">
      <c r="A236" s="15" t="s">
        <v>955</v>
      </c>
      <c r="B236" s="5" t="s">
        <v>2232</v>
      </c>
      <c r="C236" s="5">
        <v>250</v>
      </c>
      <c r="D236" s="5">
        <v>51.7</v>
      </c>
      <c r="E236" s="7">
        <f>VLOOKUP(C236,'Taux unitaires'!E:F,2,FALSE)</f>
        <v>1600</v>
      </c>
      <c r="F236" s="6">
        <f t="shared" si="22"/>
        <v>82720</v>
      </c>
      <c r="G236" s="5">
        <f>VLOOKUP(B236,'Durée de vie utile'!$C$1:$E$6,3,FALSE)</f>
        <v>125</v>
      </c>
      <c r="H236" s="5">
        <f>VLOOKUP(B236,'Durée de vie utile'!$C$1:$E$6,2,FALSE)</f>
        <v>90</v>
      </c>
      <c r="I236" s="6">
        <f t="shared" si="23"/>
        <v>919.11111111111109</v>
      </c>
      <c r="J236" s="6">
        <f>(F236/(1+'Autres hypothèses'!$D$5))*('Autres hypothèses'!$D$5/(((1+'Autres hypothèses'!$D$5)^'Conduite princ. - égout pluvial'!H236-1)))</f>
        <v>565.36754646158693</v>
      </c>
      <c r="K236" s="5">
        <v>2014</v>
      </c>
      <c r="L236" s="5">
        <f t="shared" si="18"/>
        <v>8</v>
      </c>
      <c r="M236" s="1">
        <f t="shared" si="19"/>
        <v>8.8888888888888892E-2</v>
      </c>
      <c r="N236" s="3">
        <f t="shared" si="20"/>
        <v>7352.8888888888896</v>
      </c>
      <c r="O236" s="3">
        <f t="shared" si="21"/>
        <v>75367.111111111109</v>
      </c>
    </row>
    <row r="237" spans="1:15" x14ac:dyDescent="0.25">
      <c r="A237" s="15" t="s">
        <v>956</v>
      </c>
      <c r="B237" s="5" t="s">
        <v>2233</v>
      </c>
      <c r="C237" s="5">
        <v>450</v>
      </c>
      <c r="D237" s="5">
        <v>80.399999999999991</v>
      </c>
      <c r="E237" s="7">
        <f>VLOOKUP(C237,'Taux unitaires'!E:F,2,FALSE)</f>
        <v>1700</v>
      </c>
      <c r="F237" s="6">
        <f t="shared" si="22"/>
        <v>136680</v>
      </c>
      <c r="G237" s="5">
        <f>VLOOKUP(B237,'Durée de vie utile'!$C$1:$E$6,3,FALSE)</f>
        <v>125</v>
      </c>
      <c r="H237" s="5">
        <f>VLOOKUP(B237,'Durée de vie utile'!$C$1:$E$6,2,FALSE)</f>
        <v>90</v>
      </c>
      <c r="I237" s="6">
        <f t="shared" si="23"/>
        <v>1518.6666666666667</v>
      </c>
      <c r="J237" s="6">
        <f>(F237/(1+'Autres hypothèses'!$D$5))*('Autres hypothèses'!$D$5/(((1+'Autres hypothèses'!$D$5)^'Conduite princ. - égout pluvial'!H237-1)))</f>
        <v>934.16871675978848</v>
      </c>
      <c r="K237" s="5">
        <v>2005</v>
      </c>
      <c r="L237" s="5">
        <f t="shared" si="18"/>
        <v>17</v>
      </c>
      <c r="M237" s="1">
        <f t="shared" si="19"/>
        <v>0.18888888888888888</v>
      </c>
      <c r="N237" s="3">
        <f t="shared" si="20"/>
        <v>25817.333333333332</v>
      </c>
      <c r="O237" s="3">
        <f t="shared" si="21"/>
        <v>110862.66666666667</v>
      </c>
    </row>
    <row r="238" spans="1:15" x14ac:dyDescent="0.25">
      <c r="A238" s="15" t="s">
        <v>957</v>
      </c>
      <c r="B238" s="5" t="s">
        <v>2234</v>
      </c>
      <c r="C238" s="5">
        <v>450</v>
      </c>
      <c r="D238" s="5">
        <v>51.7</v>
      </c>
      <c r="E238" s="7">
        <f>VLOOKUP(C238,'Taux unitaires'!E:F,2,FALSE)</f>
        <v>1700</v>
      </c>
      <c r="F238" s="6">
        <f t="shared" si="22"/>
        <v>87890</v>
      </c>
      <c r="G238" s="5">
        <f>VLOOKUP(B238,'Durée de vie utile'!$C$1:$E$6,3,FALSE)</f>
        <v>125</v>
      </c>
      <c r="H238" s="5">
        <f>VLOOKUP(B238,'Durée de vie utile'!$C$1:$E$6,2,FALSE)</f>
        <v>90</v>
      </c>
      <c r="I238" s="6">
        <f t="shared" si="23"/>
        <v>976.55555555555554</v>
      </c>
      <c r="J238" s="6">
        <f>(F238/(1+'Autres hypothèses'!$D$5))*('Autres hypothèses'!$D$5/(((1+'Autres hypothèses'!$D$5)^'Conduite princ. - égout pluvial'!H238-1)))</f>
        <v>600.70301811543618</v>
      </c>
      <c r="K238" s="5">
        <v>2005</v>
      </c>
      <c r="L238" s="5">
        <f t="shared" si="18"/>
        <v>17</v>
      </c>
      <c r="M238" s="1">
        <f t="shared" si="19"/>
        <v>0.18888888888888888</v>
      </c>
      <c r="N238" s="3">
        <f t="shared" si="20"/>
        <v>16601.444444444445</v>
      </c>
      <c r="O238" s="3">
        <f t="shared" si="21"/>
        <v>71288.555555555562</v>
      </c>
    </row>
    <row r="239" spans="1:15" x14ac:dyDescent="0.25">
      <c r="A239" s="15" t="s">
        <v>958</v>
      </c>
      <c r="B239" s="5" t="s">
        <v>2235</v>
      </c>
      <c r="C239" s="5">
        <v>200</v>
      </c>
      <c r="D239" s="5">
        <v>46.2</v>
      </c>
      <c r="E239" s="7">
        <f>VLOOKUP(C239,'Taux unitaires'!E:F,2,FALSE)</f>
        <v>1550</v>
      </c>
      <c r="F239" s="6">
        <f t="shared" si="22"/>
        <v>71610</v>
      </c>
      <c r="G239" s="5">
        <f>VLOOKUP(B239,'Durée de vie utile'!$C$1:$E$6,3,FALSE)</f>
        <v>125</v>
      </c>
      <c r="H239" s="5">
        <f>VLOOKUP(B239,'Durée de vie utile'!$C$1:$E$6,2,FALSE)</f>
        <v>90</v>
      </c>
      <c r="I239" s="6">
        <f t="shared" si="23"/>
        <v>795.66666666666663</v>
      </c>
      <c r="J239" s="6">
        <f>(F239/(1+'Autres hypothèses'!$D$5))*('Autres hypothèses'!$D$5/(((1+'Autres hypothèses'!$D$5)^'Conduite princ. - égout pluvial'!H239-1)))</f>
        <v>489.4338733331025</v>
      </c>
      <c r="K239" s="5">
        <v>2014</v>
      </c>
      <c r="L239" s="5">
        <f t="shared" si="18"/>
        <v>8</v>
      </c>
      <c r="M239" s="1">
        <f t="shared" si="19"/>
        <v>8.8888888888888892E-2</v>
      </c>
      <c r="N239" s="3">
        <f t="shared" si="20"/>
        <v>6365.3333333333339</v>
      </c>
      <c r="O239" s="3">
        <f t="shared" si="21"/>
        <v>65244.666666666664</v>
      </c>
    </row>
    <row r="240" spans="1:15" x14ac:dyDescent="0.25">
      <c r="A240" s="15" t="s">
        <v>959</v>
      </c>
      <c r="B240" s="5" t="s">
        <v>2236</v>
      </c>
      <c r="C240" s="5">
        <v>375</v>
      </c>
      <c r="D240" s="5">
        <v>80.699999999999989</v>
      </c>
      <c r="E240" s="7">
        <f>VLOOKUP(C240,'Taux unitaires'!E:F,2,FALSE)</f>
        <v>1650</v>
      </c>
      <c r="F240" s="6">
        <f t="shared" si="22"/>
        <v>133154.99999999997</v>
      </c>
      <c r="G240" s="5">
        <f>VLOOKUP(B240,'Durée de vie utile'!$C$1:$E$6,3,FALSE)</f>
        <v>125</v>
      </c>
      <c r="H240" s="5">
        <f>VLOOKUP(B240,'Durée de vie utile'!$C$1:$E$6,2,FALSE)</f>
        <v>90</v>
      </c>
      <c r="I240" s="6">
        <f t="shared" si="23"/>
        <v>1479.4999999999998</v>
      </c>
      <c r="J240" s="6">
        <f>(F240/(1+'Autres hypothèses'!$D$5))*('Autres hypothèses'!$D$5/(((1+'Autres hypothèses'!$D$5)^'Conduite princ. - égout pluvial'!H240-1)))</f>
        <v>910.07634972307289</v>
      </c>
      <c r="K240" s="5">
        <v>2015</v>
      </c>
      <c r="L240" s="5">
        <f t="shared" si="18"/>
        <v>7</v>
      </c>
      <c r="M240" s="1">
        <f t="shared" si="19"/>
        <v>7.7777777777777779E-2</v>
      </c>
      <c r="N240" s="3">
        <f t="shared" si="20"/>
        <v>10356.499999999998</v>
      </c>
      <c r="O240" s="3">
        <f t="shared" si="21"/>
        <v>122798.49999999997</v>
      </c>
    </row>
    <row r="241" spans="1:15" x14ac:dyDescent="0.25">
      <c r="A241" s="15" t="s">
        <v>960</v>
      </c>
      <c r="B241" s="5" t="s">
        <v>2237</v>
      </c>
      <c r="C241" s="5">
        <v>375</v>
      </c>
      <c r="D241" s="5">
        <v>38</v>
      </c>
      <c r="E241" s="7">
        <f>VLOOKUP(C241,'Taux unitaires'!E:F,2,FALSE)</f>
        <v>1650</v>
      </c>
      <c r="F241" s="6">
        <f t="shared" si="22"/>
        <v>62700</v>
      </c>
      <c r="G241" s="5">
        <f>VLOOKUP(B241,'Durée de vie utile'!$C$1:$E$6,3,FALSE)</f>
        <v>125</v>
      </c>
      <c r="H241" s="5">
        <f>VLOOKUP(B241,'Durée de vie utile'!$C$1:$E$6,2,FALSE)</f>
        <v>90</v>
      </c>
      <c r="I241" s="6">
        <f t="shared" si="23"/>
        <v>696.66666666666663</v>
      </c>
      <c r="J241" s="6">
        <f>(F241/(1+'Autres hypothèses'!$D$5))*('Autres hypothèses'!$D$5/(((1+'Autres hypothèses'!$D$5)^'Conduite princ. - égout pluvial'!H241-1)))</f>
        <v>428.53657112114962</v>
      </c>
      <c r="K241" s="5">
        <v>2017</v>
      </c>
      <c r="L241" s="5">
        <f t="shared" si="18"/>
        <v>5</v>
      </c>
      <c r="M241" s="1">
        <f t="shared" si="19"/>
        <v>5.5555555555555552E-2</v>
      </c>
      <c r="N241" s="3">
        <f t="shared" si="20"/>
        <v>3483.333333333333</v>
      </c>
      <c r="O241" s="3">
        <f t="shared" si="21"/>
        <v>59216.666666666664</v>
      </c>
    </row>
    <row r="242" spans="1:15" x14ac:dyDescent="0.25">
      <c r="A242" s="15" t="s">
        <v>961</v>
      </c>
      <c r="B242" s="5" t="s">
        <v>2238</v>
      </c>
      <c r="C242" s="5">
        <v>200</v>
      </c>
      <c r="D242" s="5">
        <v>19.600000000000001</v>
      </c>
      <c r="E242" s="7">
        <f>VLOOKUP(C242,'Taux unitaires'!E:F,2,FALSE)</f>
        <v>1550</v>
      </c>
      <c r="F242" s="6">
        <f t="shared" si="22"/>
        <v>30380.000000000004</v>
      </c>
      <c r="G242" s="5">
        <f>VLOOKUP(B242,'Durée de vie utile'!$C$1:$E$6,3,FALSE)</f>
        <v>125</v>
      </c>
      <c r="H242" s="5">
        <f>VLOOKUP(B242,'Durée de vie utile'!$C$1:$E$6,2,FALSE)</f>
        <v>90</v>
      </c>
      <c r="I242" s="6">
        <f t="shared" si="23"/>
        <v>337.5555555555556</v>
      </c>
      <c r="J242" s="6">
        <f>(F242/(1+'Autres hypothèses'!$D$5))*('Autres hypothèses'!$D$5/(((1+'Autres hypothèses'!$D$5)^'Conduite princ. - égout pluvial'!H242-1)))</f>
        <v>207.63861292919503</v>
      </c>
      <c r="K242" s="5">
        <v>2015</v>
      </c>
      <c r="L242" s="5">
        <f t="shared" si="18"/>
        <v>7</v>
      </c>
      <c r="M242" s="1">
        <f t="shared" si="19"/>
        <v>7.7777777777777779E-2</v>
      </c>
      <c r="N242" s="3">
        <f t="shared" si="20"/>
        <v>2362.8888888888891</v>
      </c>
      <c r="O242" s="3">
        <f t="shared" si="21"/>
        <v>28017.111111111113</v>
      </c>
    </row>
    <row r="243" spans="1:15" x14ac:dyDescent="0.25">
      <c r="A243" s="15" t="s">
        <v>962</v>
      </c>
      <c r="B243" s="5" t="s">
        <v>2239</v>
      </c>
      <c r="C243" s="5">
        <v>200</v>
      </c>
      <c r="D243" s="5">
        <v>52.7</v>
      </c>
      <c r="E243" s="7">
        <f>VLOOKUP(C243,'Taux unitaires'!E:F,2,FALSE)</f>
        <v>1550</v>
      </c>
      <c r="F243" s="6">
        <f t="shared" si="22"/>
        <v>81685</v>
      </c>
      <c r="G243" s="5">
        <f>VLOOKUP(B243,'Durée de vie utile'!$C$1:$E$6,3,FALSE)</f>
        <v>125</v>
      </c>
      <c r="H243" s="5">
        <f>VLOOKUP(B243,'Durée de vie utile'!$C$1:$E$6,2,FALSE)</f>
        <v>90</v>
      </c>
      <c r="I243" s="6">
        <f t="shared" si="23"/>
        <v>907.61111111111109</v>
      </c>
      <c r="J243" s="6">
        <f>(F243/(1+'Autres hypothèses'!$D$5))*('Autres hypothèses'!$D$5/(((1+'Autres hypothèses'!$D$5)^'Conduite princ. - égout pluvial'!H243-1)))</f>
        <v>558.29361741676405</v>
      </c>
      <c r="K243" s="5">
        <v>2017</v>
      </c>
      <c r="L243" s="5">
        <f t="shared" si="18"/>
        <v>5</v>
      </c>
      <c r="M243" s="1">
        <f t="shared" si="19"/>
        <v>5.5555555555555552E-2</v>
      </c>
      <c r="N243" s="3">
        <f t="shared" si="20"/>
        <v>4538.0555555555557</v>
      </c>
      <c r="O243" s="3">
        <f t="shared" si="21"/>
        <v>77146.944444444438</v>
      </c>
    </row>
    <row r="244" spans="1:15" x14ac:dyDescent="0.25">
      <c r="A244" s="15" t="s">
        <v>963</v>
      </c>
      <c r="B244" s="5" t="s">
        <v>2240</v>
      </c>
      <c r="C244" s="5">
        <v>200</v>
      </c>
      <c r="D244" s="5">
        <v>71.899999999999991</v>
      </c>
      <c r="E244" s="7">
        <f>VLOOKUP(C244,'Taux unitaires'!E:F,2,FALSE)</f>
        <v>1550</v>
      </c>
      <c r="F244" s="6">
        <f t="shared" si="22"/>
        <v>111444.99999999999</v>
      </c>
      <c r="G244" s="5">
        <f>VLOOKUP(B244,'Durée de vie utile'!$C$1:$E$6,3,FALSE)</f>
        <v>125</v>
      </c>
      <c r="H244" s="5">
        <f>VLOOKUP(B244,'Durée de vie utile'!$C$1:$E$6,2,FALSE)</f>
        <v>90</v>
      </c>
      <c r="I244" s="6">
        <f t="shared" si="23"/>
        <v>1238.2777777777776</v>
      </c>
      <c r="J244" s="6">
        <f>(F244/(1+'Autres hypothèses'!$D$5))*('Autres hypothèses'!$D$5/(((1+'Autres hypothèses'!$D$5)^'Conduite princ. - égout pluvial'!H244-1)))</f>
        <v>761.69470763311836</v>
      </c>
      <c r="K244" s="5">
        <v>2017</v>
      </c>
      <c r="L244" s="5">
        <f t="shared" si="18"/>
        <v>5</v>
      </c>
      <c r="M244" s="1">
        <f t="shared" si="19"/>
        <v>5.5555555555555552E-2</v>
      </c>
      <c r="N244" s="3">
        <f t="shared" si="20"/>
        <v>6191.3888888888878</v>
      </c>
      <c r="O244" s="3">
        <f t="shared" si="21"/>
        <v>105253.61111111109</v>
      </c>
    </row>
    <row r="245" spans="1:15" x14ac:dyDescent="0.25">
      <c r="A245" s="15" t="s">
        <v>964</v>
      </c>
      <c r="B245" s="5" t="s">
        <v>2241</v>
      </c>
      <c r="C245" s="5">
        <v>750</v>
      </c>
      <c r="D245" s="5">
        <v>74.099999999999994</v>
      </c>
      <c r="E245" s="7">
        <f>VLOOKUP(C245,'Taux unitaires'!E:F,2,FALSE)</f>
        <v>1900</v>
      </c>
      <c r="F245" s="6">
        <f t="shared" si="22"/>
        <v>140790</v>
      </c>
      <c r="G245" s="5">
        <f>VLOOKUP(B245,'Durée de vie utile'!$C$1:$E$6,3,FALSE)</f>
        <v>125</v>
      </c>
      <c r="H245" s="5">
        <f>VLOOKUP(B245,'Durée de vie utile'!$C$1:$E$6,2,FALSE)</f>
        <v>90</v>
      </c>
      <c r="I245" s="6">
        <f t="shared" si="23"/>
        <v>1564.3333333333333</v>
      </c>
      <c r="J245" s="6">
        <f>(F245/(1+'Autres hypothèses'!$D$5))*('Autres hypothèses'!$D$5/(((1+'Autres hypothèses'!$D$5)^'Conduite princ. - égout pluvial'!H245-1)))</f>
        <v>962.25939151749071</v>
      </c>
      <c r="K245" s="5">
        <v>2017</v>
      </c>
      <c r="L245" s="5">
        <f t="shared" si="18"/>
        <v>5</v>
      </c>
      <c r="M245" s="1">
        <f t="shared" si="19"/>
        <v>5.5555555555555552E-2</v>
      </c>
      <c r="N245" s="3">
        <f t="shared" si="20"/>
        <v>7821.6666666666661</v>
      </c>
      <c r="O245" s="3">
        <f t="shared" si="21"/>
        <v>132968.33333333334</v>
      </c>
    </row>
    <row r="246" spans="1:15" x14ac:dyDescent="0.25">
      <c r="A246" s="15" t="s">
        <v>965</v>
      </c>
      <c r="B246" s="5" t="s">
        <v>2242</v>
      </c>
      <c r="C246" s="5">
        <v>750</v>
      </c>
      <c r="D246" s="5">
        <v>67</v>
      </c>
      <c r="E246" s="7">
        <f>VLOOKUP(C246,'Taux unitaires'!E:F,2,FALSE)</f>
        <v>1900</v>
      </c>
      <c r="F246" s="6">
        <f t="shared" si="22"/>
        <v>127300</v>
      </c>
      <c r="G246" s="5">
        <f>VLOOKUP(B246,'Durée de vie utile'!$C$1:$E$6,3,FALSE)</f>
        <v>125</v>
      </c>
      <c r="H246" s="5">
        <f>VLOOKUP(B246,'Durée de vie utile'!$C$1:$E$6,2,FALSE)</f>
        <v>90</v>
      </c>
      <c r="I246" s="6">
        <f t="shared" si="23"/>
        <v>1414.4444444444443</v>
      </c>
      <c r="J246" s="6">
        <f>(F246/(1+'Autres hypothèses'!$D$5))*('Autres hypothèses'!$D$5/(((1+'Autres hypothèses'!$D$5)^'Conduite princ. - égout pluvial'!H246-1)))</f>
        <v>870.05909894294018</v>
      </c>
      <c r="K246" s="5">
        <v>2017</v>
      </c>
      <c r="L246" s="5">
        <f t="shared" si="18"/>
        <v>5</v>
      </c>
      <c r="M246" s="1">
        <f t="shared" si="19"/>
        <v>5.5555555555555552E-2</v>
      </c>
      <c r="N246" s="3">
        <f t="shared" si="20"/>
        <v>7072.2222222222217</v>
      </c>
      <c r="O246" s="3">
        <f t="shared" si="21"/>
        <v>120227.77777777778</v>
      </c>
    </row>
    <row r="247" spans="1:15" x14ac:dyDescent="0.25">
      <c r="A247" s="15" t="s">
        <v>966</v>
      </c>
      <c r="B247" s="5" t="s">
        <v>2243</v>
      </c>
      <c r="C247" s="5">
        <v>250</v>
      </c>
      <c r="D247" s="5">
        <v>30.700000000000003</v>
      </c>
      <c r="E247" s="7">
        <f>VLOOKUP(C247,'Taux unitaires'!E:F,2,FALSE)</f>
        <v>1600</v>
      </c>
      <c r="F247" s="6">
        <f t="shared" si="22"/>
        <v>49120.000000000007</v>
      </c>
      <c r="G247" s="5">
        <f>VLOOKUP(B247,'Durée de vie utile'!$C$1:$E$6,3,FALSE)</f>
        <v>125</v>
      </c>
      <c r="H247" s="5">
        <f>VLOOKUP(B247,'Durée de vie utile'!$C$1:$E$6,2,FALSE)</f>
        <v>90</v>
      </c>
      <c r="I247" s="6">
        <f t="shared" si="23"/>
        <v>545.77777777777783</v>
      </c>
      <c r="J247" s="6">
        <f>(F247/(1+'Autres hypothèses'!$D$5))*('Autres hypothèses'!$D$5/(((1+'Autres hypothèses'!$D$5)^'Conduite princ. - égout pluvial'!H247-1)))</f>
        <v>335.72115428183207</v>
      </c>
      <c r="K247" s="5">
        <v>2017</v>
      </c>
      <c r="L247" s="5">
        <f t="shared" si="18"/>
        <v>5</v>
      </c>
      <c r="M247" s="1">
        <f t="shared" si="19"/>
        <v>5.5555555555555552E-2</v>
      </c>
      <c r="N247" s="3">
        <f t="shared" si="20"/>
        <v>2728.8888888888891</v>
      </c>
      <c r="O247" s="3">
        <f t="shared" si="21"/>
        <v>46391.111111111117</v>
      </c>
    </row>
    <row r="248" spans="1:15" x14ac:dyDescent="0.25">
      <c r="A248" s="15" t="s">
        <v>967</v>
      </c>
      <c r="B248" s="5" t="s">
        <v>2244</v>
      </c>
      <c r="C248" s="5">
        <v>250</v>
      </c>
      <c r="D248" s="5">
        <v>7.3</v>
      </c>
      <c r="E248" s="7">
        <f>VLOOKUP(C248,'Taux unitaires'!E:F,2,FALSE)</f>
        <v>1600</v>
      </c>
      <c r="F248" s="6">
        <f t="shared" si="22"/>
        <v>11680</v>
      </c>
      <c r="G248" s="5">
        <f>VLOOKUP(B248,'Durée de vie utile'!$C$1:$E$6,3,FALSE)</f>
        <v>125</v>
      </c>
      <c r="H248" s="5">
        <f>VLOOKUP(B248,'Durée de vie utile'!$C$1:$E$6,2,FALSE)</f>
        <v>90</v>
      </c>
      <c r="I248" s="6">
        <f t="shared" si="23"/>
        <v>129.77777777777777</v>
      </c>
      <c r="J248" s="6">
        <f>(F248/(1+'Autres hypothèses'!$D$5))*('Autres hypothèses'!$D$5/(((1+'Autres hypothèses'!$D$5)^'Conduite princ. - égout pluvial'!H248-1)))</f>
        <v>79.82946013867668</v>
      </c>
      <c r="K248" s="5">
        <v>2012</v>
      </c>
      <c r="L248" s="5">
        <f t="shared" si="18"/>
        <v>10</v>
      </c>
      <c r="M248" s="1">
        <f t="shared" si="19"/>
        <v>0.1111111111111111</v>
      </c>
      <c r="N248" s="3">
        <f t="shared" si="20"/>
        <v>1297.7777777777776</v>
      </c>
      <c r="O248" s="3">
        <f t="shared" si="21"/>
        <v>10382.222222222223</v>
      </c>
    </row>
    <row r="249" spans="1:15" x14ac:dyDescent="0.25">
      <c r="A249" s="15" t="s">
        <v>968</v>
      </c>
      <c r="B249" s="5" t="s">
        <v>2245</v>
      </c>
      <c r="C249" s="5">
        <v>375</v>
      </c>
      <c r="D249" s="5">
        <v>65.8</v>
      </c>
      <c r="E249" s="7">
        <f>VLOOKUP(C249,'Taux unitaires'!E:F,2,FALSE)</f>
        <v>1650</v>
      </c>
      <c r="F249" s="6">
        <f t="shared" si="22"/>
        <v>108570</v>
      </c>
      <c r="G249" s="5">
        <f>VLOOKUP(B249,'Durée de vie utile'!$C$1:$E$6,3,FALSE)</f>
        <v>125</v>
      </c>
      <c r="H249" s="5">
        <f>VLOOKUP(B249,'Durée de vie utile'!$C$1:$E$6,2,FALSE)</f>
        <v>90</v>
      </c>
      <c r="I249" s="6">
        <f t="shared" si="23"/>
        <v>1206.3333333333333</v>
      </c>
      <c r="J249" s="6">
        <f>(F249/(1+'Autres hypothèses'!$D$5))*('Autres hypothèses'!$D$5/(((1+'Autres hypothèses'!$D$5)^'Conduite princ. - égout pluvial'!H249-1)))</f>
        <v>742.04490473083285</v>
      </c>
      <c r="K249" s="5">
        <v>2012</v>
      </c>
      <c r="L249" s="5">
        <f t="shared" si="18"/>
        <v>10</v>
      </c>
      <c r="M249" s="1">
        <f t="shared" si="19"/>
        <v>0.1111111111111111</v>
      </c>
      <c r="N249" s="3">
        <f t="shared" si="20"/>
        <v>12063.333333333332</v>
      </c>
      <c r="O249" s="3">
        <f t="shared" si="21"/>
        <v>96506.666666666672</v>
      </c>
    </row>
    <row r="250" spans="1:15" x14ac:dyDescent="0.25">
      <c r="A250" s="15" t="s">
        <v>969</v>
      </c>
      <c r="B250" s="5" t="s">
        <v>2246</v>
      </c>
      <c r="C250" s="5">
        <v>375</v>
      </c>
      <c r="D250" s="5">
        <v>75</v>
      </c>
      <c r="E250" s="7">
        <f>VLOOKUP(C250,'Taux unitaires'!E:F,2,FALSE)</f>
        <v>1650</v>
      </c>
      <c r="F250" s="6">
        <f t="shared" si="22"/>
        <v>123750</v>
      </c>
      <c r="G250" s="5">
        <f>VLOOKUP(B250,'Durée de vie utile'!$C$1:$E$6,3,FALSE)</f>
        <v>125</v>
      </c>
      <c r="H250" s="5">
        <f>VLOOKUP(B250,'Durée de vie utile'!$C$1:$E$6,2,FALSE)</f>
        <v>90</v>
      </c>
      <c r="I250" s="12">
        <f t="shared" si="23"/>
        <v>1375</v>
      </c>
      <c r="J250" s="6">
        <f>(F250/(1+'Autres hypothèses'!$D$5))*('Autres hypothèses'!$D$5/(((1+'Autres hypothèses'!$D$5)^'Conduite princ. - égout pluvial'!H250-1)))</f>
        <v>845.79586405490068</v>
      </c>
      <c r="K250" s="5">
        <v>2019</v>
      </c>
      <c r="L250" s="5">
        <f t="shared" si="18"/>
        <v>3</v>
      </c>
      <c r="M250" s="1">
        <f t="shared" si="19"/>
        <v>3.3333333333333333E-2</v>
      </c>
      <c r="N250" s="3">
        <f t="shared" si="20"/>
        <v>4125</v>
      </c>
      <c r="O250" s="3">
        <f t="shared" si="21"/>
        <v>119625</v>
      </c>
    </row>
    <row r="252" spans="1:15" x14ac:dyDescent="0.25">
      <c r="F252" s="3">
        <f>SUM(F2:F251)</f>
        <v>21697715</v>
      </c>
      <c r="I252" s="3">
        <f>SUM(I2:I251)</f>
        <v>268248.53869047598</v>
      </c>
      <c r="J252" s="3">
        <f>SUM(J2:J251)</f>
        <v>173874.71565586029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43E6-1DEB-4921-837D-C87724C2DFA7}">
  <dimension ref="A1:O252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9.140625" defaultRowHeight="15" x14ac:dyDescent="0.2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4" width="11.5703125" bestFit="1" customWidth="1"/>
    <col min="15" max="15" width="14.7109375" bestFit="1" customWidth="1"/>
  </cols>
  <sheetData>
    <row r="1" spans="1:15" ht="45" x14ac:dyDescent="0.25">
      <c r="A1" s="8" t="s">
        <v>2247</v>
      </c>
      <c r="B1" s="8" t="s">
        <v>2248</v>
      </c>
      <c r="C1" s="8" t="s">
        <v>2249</v>
      </c>
      <c r="D1" s="8" t="s">
        <v>2250</v>
      </c>
      <c r="E1" s="9" t="s">
        <v>2251</v>
      </c>
      <c r="F1" s="9" t="s">
        <v>2252</v>
      </c>
      <c r="G1" s="8" t="s">
        <v>2253</v>
      </c>
      <c r="H1" s="8" t="s">
        <v>2254</v>
      </c>
      <c r="I1" s="9" t="s">
        <v>2255</v>
      </c>
      <c r="J1" s="9" t="s">
        <v>2256</v>
      </c>
      <c r="K1" s="8" t="s">
        <v>2257</v>
      </c>
      <c r="L1" s="8" t="s">
        <v>2258</v>
      </c>
      <c r="M1" s="9" t="s">
        <v>2259</v>
      </c>
      <c r="N1" s="9" t="s">
        <v>2260</v>
      </c>
      <c r="O1" s="9" t="s">
        <v>2261</v>
      </c>
    </row>
    <row r="2" spans="1:15" x14ac:dyDescent="0.25">
      <c r="A2" s="4" t="s">
        <v>970</v>
      </c>
      <c r="B2" s="5" t="s">
        <v>2262</v>
      </c>
      <c r="C2" s="5">
        <v>150</v>
      </c>
      <c r="D2" s="5">
        <v>51.800000000000004</v>
      </c>
      <c r="E2" s="7">
        <f>VLOOKUP(C2,'Taux unitaires'!B:C,2,FALSE)</f>
        <v>1400</v>
      </c>
      <c r="F2" s="6">
        <f>D2*E2</f>
        <v>72520</v>
      </c>
      <c r="G2" s="5">
        <f>VLOOKUP(B2,'Durée de vie utile'!$C$8:$E$13,3,FALSE)</f>
        <v>125</v>
      </c>
      <c r="H2" s="5">
        <f>VLOOKUP(B2,'Durée de vie utile'!$C$8:$D$13,2,FALSE)</f>
        <v>80</v>
      </c>
      <c r="I2" s="6">
        <f>F2/H2</f>
        <v>906.5</v>
      </c>
      <c r="J2" s="6">
        <f>(F2/(1+'Autres hypothèses'!$D$5))*('Autres hypothèses'!$D$5/(((1+'Autres hypothèses'!$D$5)^'Conduite principale d''eau'!H2-1)))</f>
        <v>590.12971304488917</v>
      </c>
      <c r="K2" s="5">
        <v>1953</v>
      </c>
      <c r="L2" s="5">
        <f t="shared" ref="L2:L65" si="0">2022-K2</f>
        <v>69</v>
      </c>
      <c r="M2" s="1">
        <f t="shared" ref="M2:M65" si="1">L2/H2</f>
        <v>0.86250000000000004</v>
      </c>
      <c r="N2" s="3">
        <f t="shared" ref="N2:N65" si="2">M2*F2</f>
        <v>62548.5</v>
      </c>
      <c r="O2" s="3">
        <f t="shared" ref="O2:O65" si="3">F2-N2</f>
        <v>9971.5</v>
      </c>
    </row>
    <row r="3" spans="1:15" x14ac:dyDescent="0.25">
      <c r="A3" s="4" t="s">
        <v>971</v>
      </c>
      <c r="B3" s="5" t="s">
        <v>2263</v>
      </c>
      <c r="C3" s="5">
        <v>200</v>
      </c>
      <c r="D3" s="5">
        <v>4.5999999999999996</v>
      </c>
      <c r="E3" s="7">
        <f>VLOOKUP(C3,'Taux unitaires'!B:C,2,FALSE)</f>
        <v>1450</v>
      </c>
      <c r="F3" s="6">
        <f t="shared" ref="F3:F66" si="4">D3*E3</f>
        <v>6669.9999999999991</v>
      </c>
      <c r="G3" s="5">
        <f>VLOOKUP(B3,'Durée de vie utile'!$C$8:$E$13,3,FALSE)</f>
        <v>125</v>
      </c>
      <c r="H3" s="5">
        <f>VLOOKUP(B3,'Durée de vie utile'!$C$8:$D$13,2,FALSE)</f>
        <v>80</v>
      </c>
      <c r="I3" s="6">
        <f t="shared" ref="I3:I66" si="5">F3/H3</f>
        <v>83.374999999999986</v>
      </c>
      <c r="J3" s="6">
        <f>(F3/(1+'Autres hypothèses'!$D$5))*('Autres hypothèses'!$D$5/(((1+'Autres hypothèses'!$D$5)^'Conduite principale d''eau'!H3-1)))</f>
        <v>54.276960645468989</v>
      </c>
      <c r="K3" s="5">
        <v>1953</v>
      </c>
      <c r="L3" s="5">
        <f t="shared" si="0"/>
        <v>69</v>
      </c>
      <c r="M3" s="1">
        <f t="shared" si="1"/>
        <v>0.86250000000000004</v>
      </c>
      <c r="N3" s="3">
        <f t="shared" si="2"/>
        <v>5752.8749999999991</v>
      </c>
      <c r="O3" s="3">
        <f t="shared" si="3"/>
        <v>917.125</v>
      </c>
    </row>
    <row r="4" spans="1:15" x14ac:dyDescent="0.25">
      <c r="A4" s="4" t="s">
        <v>972</v>
      </c>
      <c r="B4" s="5" t="s">
        <v>2264</v>
      </c>
      <c r="C4" s="5">
        <v>200</v>
      </c>
      <c r="D4" s="5">
        <v>29.400000000000002</v>
      </c>
      <c r="E4" s="7">
        <f>VLOOKUP(C4,'Taux unitaires'!B:C,2,FALSE)</f>
        <v>1450</v>
      </c>
      <c r="F4" s="6">
        <f t="shared" si="4"/>
        <v>42630</v>
      </c>
      <c r="G4" s="5">
        <f>VLOOKUP(B4,'Durée de vie utile'!$C$8:$E$13,3,FALSE)</f>
        <v>100</v>
      </c>
      <c r="H4" s="5">
        <f>VLOOKUP(B4,'Durée de vie utile'!$C$8:$D$13,2,FALSE)</f>
        <v>70</v>
      </c>
      <c r="I4" s="6">
        <f t="shared" si="5"/>
        <v>609</v>
      </c>
      <c r="J4" s="6">
        <f>(F4/(1+'Autres hypothèses'!$D$5))*('Autres hypothèses'!$D$5/(((1+'Autres hypothèses'!$D$5)^'Conduite principale d''eau'!H4-1)))</f>
        <v>419.24370827428555</v>
      </c>
      <c r="K4" s="5">
        <v>1953</v>
      </c>
      <c r="L4" s="5">
        <f t="shared" si="0"/>
        <v>69</v>
      </c>
      <c r="M4" s="1">
        <f t="shared" si="1"/>
        <v>0.98571428571428577</v>
      </c>
      <c r="N4" s="3">
        <f t="shared" si="2"/>
        <v>42021</v>
      </c>
      <c r="O4" s="3">
        <f t="shared" si="3"/>
        <v>609</v>
      </c>
    </row>
    <row r="5" spans="1:15" x14ac:dyDescent="0.25">
      <c r="A5" s="4" t="s">
        <v>973</v>
      </c>
      <c r="B5" s="5" t="s">
        <v>2265</v>
      </c>
      <c r="C5" s="5">
        <v>150</v>
      </c>
      <c r="D5" s="5">
        <v>80.8</v>
      </c>
      <c r="E5" s="7">
        <f>VLOOKUP(C5,'Taux unitaires'!B:C,2,FALSE)</f>
        <v>1400</v>
      </c>
      <c r="F5" s="6">
        <f t="shared" si="4"/>
        <v>113120</v>
      </c>
      <c r="G5" s="5">
        <f>VLOOKUP(B5,'Durée de vie utile'!$C$8:$E$13,3,FALSE)</f>
        <v>125</v>
      </c>
      <c r="H5" s="5">
        <f>VLOOKUP(B5,'Durée de vie utile'!$C$8:$D$13,2,FALSE)</f>
        <v>80</v>
      </c>
      <c r="I5" s="6">
        <f t="shared" si="5"/>
        <v>1414</v>
      </c>
      <c r="J5" s="6">
        <f>(F5/(1+'Autres hypothèses'!$D$5))*('Autres hypothèses'!$D$5/(((1+'Autres hypothèses'!$D$5)^'Conduite principale d''eau'!H5-1)))</f>
        <v>920.51121262600486</v>
      </c>
      <c r="K5" s="5">
        <v>1953</v>
      </c>
      <c r="L5" s="5">
        <f t="shared" si="0"/>
        <v>69</v>
      </c>
      <c r="M5" s="1">
        <f t="shared" si="1"/>
        <v>0.86250000000000004</v>
      </c>
      <c r="N5" s="3">
        <f t="shared" si="2"/>
        <v>97566</v>
      </c>
      <c r="O5" s="3">
        <f t="shared" si="3"/>
        <v>15554</v>
      </c>
    </row>
    <row r="6" spans="1:15" x14ac:dyDescent="0.25">
      <c r="A6" s="4" t="s">
        <v>974</v>
      </c>
      <c r="B6" s="5" t="s">
        <v>2266</v>
      </c>
      <c r="C6" s="5">
        <v>200</v>
      </c>
      <c r="D6" s="5">
        <v>26.400000000000002</v>
      </c>
      <c r="E6" s="7">
        <f>VLOOKUP(C6,'Taux unitaires'!B:C,2,FALSE)</f>
        <v>1450</v>
      </c>
      <c r="F6" s="6">
        <f t="shared" si="4"/>
        <v>38280</v>
      </c>
      <c r="G6" s="5">
        <f>VLOOKUP(B6,'Durée de vie utile'!$C$8:$E$13,3,FALSE)</f>
        <v>100</v>
      </c>
      <c r="H6" s="5">
        <f>VLOOKUP(B6,'Durée de vie utile'!$C$8:$D$13,2,FALSE)</f>
        <v>70</v>
      </c>
      <c r="I6" s="6">
        <f t="shared" si="5"/>
        <v>546.85714285714289</v>
      </c>
      <c r="J6" s="6">
        <f>(F6/(1+'Autres hypothèses'!$D$5))*('Autres hypothèses'!$D$5/(((1+'Autres hypothèses'!$D$5)^'Conduite principale d''eau'!H6-1)))</f>
        <v>376.46373804221554</v>
      </c>
      <c r="K6" s="5">
        <v>1953</v>
      </c>
      <c r="L6" s="5">
        <f t="shared" si="0"/>
        <v>69</v>
      </c>
      <c r="M6" s="1">
        <f t="shared" si="1"/>
        <v>0.98571428571428577</v>
      </c>
      <c r="N6" s="3">
        <f t="shared" si="2"/>
        <v>37733.142857142862</v>
      </c>
      <c r="O6" s="3">
        <f t="shared" si="3"/>
        <v>546.85714285713766</v>
      </c>
    </row>
    <row r="7" spans="1:15" x14ac:dyDescent="0.25">
      <c r="A7" s="4" t="s">
        <v>975</v>
      </c>
      <c r="B7" s="5" t="s">
        <v>2267</v>
      </c>
      <c r="C7" s="5">
        <v>200</v>
      </c>
      <c r="D7" s="5">
        <v>71</v>
      </c>
      <c r="E7" s="7">
        <f>VLOOKUP(C7,'Taux unitaires'!B:C,2,FALSE)</f>
        <v>1450</v>
      </c>
      <c r="F7" s="6">
        <f t="shared" si="4"/>
        <v>102950</v>
      </c>
      <c r="G7" s="5">
        <f>VLOOKUP(B7,'Durée de vie utile'!$C$8:$E$13,3,FALSE)</f>
        <v>100</v>
      </c>
      <c r="H7" s="5">
        <f>VLOOKUP(B7,'Durée de vie utile'!$C$8:$D$13,2,FALSE)</f>
        <v>70</v>
      </c>
      <c r="I7" s="6">
        <f t="shared" si="5"/>
        <v>1470.7142857142858</v>
      </c>
      <c r="J7" s="6">
        <f>(F7/(1+'Autres hypothèses'!$D$5))*('Autres hypothèses'!$D$5/(((1+'Autres hypothèses'!$D$5)^'Conduite principale d''eau'!H7-1)))</f>
        <v>1012.4592954923221</v>
      </c>
      <c r="K7" s="5">
        <v>1953</v>
      </c>
      <c r="L7" s="5">
        <f t="shared" si="0"/>
        <v>69</v>
      </c>
      <c r="M7" s="1">
        <f t="shared" si="1"/>
        <v>0.98571428571428577</v>
      </c>
      <c r="N7" s="3">
        <f t="shared" si="2"/>
        <v>101479.28571428572</v>
      </c>
      <c r="O7" s="3">
        <f t="shared" si="3"/>
        <v>1470.7142857142753</v>
      </c>
    </row>
    <row r="8" spans="1:15" x14ac:dyDescent="0.25">
      <c r="A8" s="4" t="s">
        <v>976</v>
      </c>
      <c r="B8" s="5" t="s">
        <v>2268</v>
      </c>
      <c r="C8" s="5">
        <v>200</v>
      </c>
      <c r="D8" s="5">
        <v>42</v>
      </c>
      <c r="E8" s="7">
        <f>VLOOKUP(C8,'Taux unitaires'!B:C,2,FALSE)</f>
        <v>1450</v>
      </c>
      <c r="F8" s="6">
        <f t="shared" si="4"/>
        <v>60900</v>
      </c>
      <c r="G8" s="5">
        <f>VLOOKUP(B8,'Durée de vie utile'!$C$8:$E$13,3,FALSE)</f>
        <v>100</v>
      </c>
      <c r="H8" s="5">
        <f>VLOOKUP(B8,'Durée de vie utile'!$C$8:$D$13,2,FALSE)</f>
        <v>70</v>
      </c>
      <c r="I8" s="6">
        <f t="shared" si="5"/>
        <v>870</v>
      </c>
      <c r="J8" s="6">
        <f>(F8/(1+'Autres hypothèses'!$D$5))*('Autres hypothèses'!$D$5/(((1+'Autres hypothèses'!$D$5)^'Conduite principale d''eau'!H8-1)))</f>
        <v>598.91958324897928</v>
      </c>
      <c r="K8" s="5">
        <v>1953</v>
      </c>
      <c r="L8" s="5">
        <f t="shared" si="0"/>
        <v>69</v>
      </c>
      <c r="M8" s="1">
        <f t="shared" si="1"/>
        <v>0.98571428571428577</v>
      </c>
      <c r="N8" s="3">
        <f t="shared" si="2"/>
        <v>60030</v>
      </c>
      <c r="O8" s="3">
        <f t="shared" si="3"/>
        <v>870</v>
      </c>
    </row>
    <row r="9" spans="1:15" x14ac:dyDescent="0.25">
      <c r="A9" s="4" t="s">
        <v>977</v>
      </c>
      <c r="B9" s="5" t="s">
        <v>2269</v>
      </c>
      <c r="C9" s="5">
        <v>200</v>
      </c>
      <c r="D9" s="5">
        <v>96.199999999999989</v>
      </c>
      <c r="E9" s="7">
        <f>VLOOKUP(C9,'Taux unitaires'!B:C,2,FALSE)</f>
        <v>1450</v>
      </c>
      <c r="F9" s="6">
        <f t="shared" si="4"/>
        <v>139489.99999999997</v>
      </c>
      <c r="G9" s="5">
        <f>VLOOKUP(B9,'Durée de vie utile'!$C$8:$E$13,3,FALSE)</f>
        <v>125</v>
      </c>
      <c r="H9" s="5">
        <f>VLOOKUP(B9,'Durée de vie utile'!$C$8:$D$13,2,FALSE)</f>
        <v>80</v>
      </c>
      <c r="I9" s="6">
        <f t="shared" si="5"/>
        <v>1743.6249999999995</v>
      </c>
      <c r="J9" s="6">
        <f>(F9/(1+'Autres hypothèses'!$D$5))*('Autres hypothèses'!$D$5/(((1+'Autres hypothèses'!$D$5)^'Conduite principale d''eau'!H9-1)))</f>
        <v>1135.0964378465469</v>
      </c>
      <c r="K9" s="5">
        <v>1953</v>
      </c>
      <c r="L9" s="5">
        <f t="shared" si="0"/>
        <v>69</v>
      </c>
      <c r="M9" s="1">
        <f t="shared" si="1"/>
        <v>0.86250000000000004</v>
      </c>
      <c r="N9" s="3">
        <f t="shared" si="2"/>
        <v>120310.12499999999</v>
      </c>
      <c r="O9" s="3">
        <f t="shared" si="3"/>
        <v>19179.874999999985</v>
      </c>
    </row>
    <row r="10" spans="1:15" x14ac:dyDescent="0.25">
      <c r="A10" s="4" t="s">
        <v>978</v>
      </c>
      <c r="B10" s="5" t="s">
        <v>2270</v>
      </c>
      <c r="C10" s="5">
        <v>200</v>
      </c>
      <c r="D10" s="5">
        <v>78.599999999999994</v>
      </c>
      <c r="E10" s="7">
        <f>VLOOKUP(C10,'Taux unitaires'!B:C,2,FALSE)</f>
        <v>1450</v>
      </c>
      <c r="F10" s="6">
        <f t="shared" si="4"/>
        <v>113969.99999999999</v>
      </c>
      <c r="G10" s="5">
        <f>VLOOKUP(B10,'Durée de vie utile'!$C$8:$E$13,3,FALSE)</f>
        <v>100</v>
      </c>
      <c r="H10" s="5">
        <f>VLOOKUP(B10,'Durée de vie utile'!$C$8:$D$13,2,FALSE)</f>
        <v>70</v>
      </c>
      <c r="I10" s="6">
        <f t="shared" si="5"/>
        <v>1628.1428571428569</v>
      </c>
      <c r="J10" s="6">
        <f>(F10/(1+'Autres hypothèses'!$D$5))*('Autres hypothèses'!$D$5/(((1+'Autres hypothèses'!$D$5)^'Conduite principale d''eau'!H10-1)))</f>
        <v>1120.8352200802326</v>
      </c>
      <c r="K10" s="5">
        <v>1953</v>
      </c>
      <c r="L10" s="5">
        <f t="shared" si="0"/>
        <v>69</v>
      </c>
      <c r="M10" s="1">
        <f t="shared" si="1"/>
        <v>0.98571428571428577</v>
      </c>
      <c r="N10" s="3">
        <f t="shared" si="2"/>
        <v>112341.85714285713</v>
      </c>
      <c r="O10" s="3">
        <f t="shared" si="3"/>
        <v>1628.1428571428551</v>
      </c>
    </row>
    <row r="11" spans="1:15" x14ac:dyDescent="0.25">
      <c r="A11" s="4" t="s">
        <v>979</v>
      </c>
      <c r="B11" s="5" t="s">
        <v>2271</v>
      </c>
      <c r="C11" s="5">
        <v>150</v>
      </c>
      <c r="D11" s="5">
        <v>82.5</v>
      </c>
      <c r="E11" s="7">
        <f>VLOOKUP(C11,'Taux unitaires'!B:C,2,FALSE)</f>
        <v>1400</v>
      </c>
      <c r="F11" s="6">
        <f t="shared" si="4"/>
        <v>115500</v>
      </c>
      <c r="G11" s="5">
        <f>VLOOKUP(B11,'Durée de vie utile'!$C$8:$E$13,3,FALSE)</f>
        <v>100</v>
      </c>
      <c r="H11" s="5">
        <f>VLOOKUP(B11,'Durée de vie utile'!$C$8:$D$13,2,FALSE)</f>
        <v>70</v>
      </c>
      <c r="I11" s="6">
        <f t="shared" si="5"/>
        <v>1650</v>
      </c>
      <c r="J11" s="6">
        <f>(F11/(1+'Autres hypothèses'!$D$5))*('Autres hypothèses'!$D$5/(((1+'Autres hypothèses'!$D$5)^'Conduite principale d''eau'!H11-1)))</f>
        <v>1135.8819682308228</v>
      </c>
      <c r="K11" s="5">
        <v>1953</v>
      </c>
      <c r="L11" s="5">
        <f t="shared" si="0"/>
        <v>69</v>
      </c>
      <c r="M11" s="1">
        <f t="shared" si="1"/>
        <v>0.98571428571428577</v>
      </c>
      <c r="N11" s="3">
        <f t="shared" si="2"/>
        <v>113850</v>
      </c>
      <c r="O11" s="3">
        <f t="shared" si="3"/>
        <v>1650</v>
      </c>
    </row>
    <row r="12" spans="1:15" x14ac:dyDescent="0.25">
      <c r="A12" s="4" t="s">
        <v>980</v>
      </c>
      <c r="B12" s="5" t="s">
        <v>2272</v>
      </c>
      <c r="C12" s="5">
        <v>150</v>
      </c>
      <c r="D12" s="5">
        <v>13.7</v>
      </c>
      <c r="E12" s="7">
        <f>VLOOKUP(C12,'Taux unitaires'!B:C,2,FALSE)</f>
        <v>1400</v>
      </c>
      <c r="F12" s="6">
        <f t="shared" si="4"/>
        <v>19180</v>
      </c>
      <c r="G12" s="5">
        <f>VLOOKUP(B12,'Durée de vie utile'!$C$8:$E$13,3,FALSE)</f>
        <v>125</v>
      </c>
      <c r="H12" s="5">
        <f>VLOOKUP(B12,'Durée de vie utile'!$C$8:$D$13,2,FALSE)</f>
        <v>80</v>
      </c>
      <c r="I12" s="6">
        <f t="shared" si="5"/>
        <v>239.75</v>
      </c>
      <c r="J12" s="6">
        <f>(F12/(1+'Autres hypothèses'!$D$5))*('Autres hypothèses'!$D$5/(((1+'Autres hypothèses'!$D$5)^'Conduite principale d''eau'!H12-1)))</f>
        <v>156.07677738832012</v>
      </c>
      <c r="K12" s="5">
        <v>1953</v>
      </c>
      <c r="L12" s="5">
        <f t="shared" si="0"/>
        <v>69</v>
      </c>
      <c r="M12" s="1">
        <f t="shared" si="1"/>
        <v>0.86250000000000004</v>
      </c>
      <c r="N12" s="3">
        <f t="shared" si="2"/>
        <v>16542.75</v>
      </c>
      <c r="O12" s="3">
        <f t="shared" si="3"/>
        <v>2637.25</v>
      </c>
    </row>
    <row r="13" spans="1:15" x14ac:dyDescent="0.25">
      <c r="A13" s="4" t="s">
        <v>981</v>
      </c>
      <c r="B13" s="5" t="s">
        <v>2273</v>
      </c>
      <c r="C13" s="5">
        <v>200</v>
      </c>
      <c r="D13" s="5">
        <v>35.5</v>
      </c>
      <c r="E13" s="7">
        <f>VLOOKUP(C13,'Taux unitaires'!B:C,2,FALSE)</f>
        <v>1450</v>
      </c>
      <c r="F13" s="6">
        <f t="shared" si="4"/>
        <v>51475</v>
      </c>
      <c r="G13" s="5">
        <f>VLOOKUP(B13,'Durée de vie utile'!$C$8:$E$13,3,FALSE)</f>
        <v>100</v>
      </c>
      <c r="H13" s="5">
        <f>VLOOKUP(B13,'Durée de vie utile'!$C$8:$D$13,2,FALSE)</f>
        <v>70</v>
      </c>
      <c r="I13" s="6">
        <f t="shared" si="5"/>
        <v>735.35714285714289</v>
      </c>
      <c r="J13" s="6">
        <f>(F13/(1+'Autres hypothèses'!$D$5))*('Autres hypothèses'!$D$5/(((1+'Autres hypothèses'!$D$5)^'Conduite principale d''eau'!H13-1)))</f>
        <v>506.22964774616105</v>
      </c>
      <c r="K13" s="5">
        <v>1953</v>
      </c>
      <c r="L13" s="5">
        <f t="shared" si="0"/>
        <v>69</v>
      </c>
      <c r="M13" s="1">
        <f t="shared" si="1"/>
        <v>0.98571428571428577</v>
      </c>
      <c r="N13" s="3">
        <f t="shared" si="2"/>
        <v>50739.642857142862</v>
      </c>
      <c r="O13" s="3">
        <f t="shared" si="3"/>
        <v>735.35714285713766</v>
      </c>
    </row>
    <row r="14" spans="1:15" x14ac:dyDescent="0.25">
      <c r="A14" s="4" t="s">
        <v>982</v>
      </c>
      <c r="B14" s="5" t="s">
        <v>2274</v>
      </c>
      <c r="C14" s="5">
        <v>300</v>
      </c>
      <c r="D14" s="5">
        <v>8.6</v>
      </c>
      <c r="E14" s="7">
        <f>VLOOKUP(C14,'Taux unitaires'!B:C,2,FALSE)</f>
        <v>1600</v>
      </c>
      <c r="F14" s="6">
        <f t="shared" si="4"/>
        <v>13760</v>
      </c>
      <c r="G14" s="5">
        <f>VLOOKUP(B14,'Durée de vie utile'!$C$8:$E$13,3,FALSE)</f>
        <v>100</v>
      </c>
      <c r="H14" s="5">
        <f>VLOOKUP(B14,'Durée de vie utile'!$C$8:$D$13,2,FALSE)</f>
        <v>70</v>
      </c>
      <c r="I14" s="6">
        <f t="shared" si="5"/>
        <v>196.57142857142858</v>
      </c>
      <c r="J14" s="6">
        <f>(F14/(1+'Autres hypothèses'!$D$5))*('Autres hypothèses'!$D$5/(((1+'Autres hypothèses'!$D$5)^'Conduite principale d''eau'!H14-1)))</f>
        <v>135.32238859615691</v>
      </c>
      <c r="K14" s="5">
        <v>1956</v>
      </c>
      <c r="L14" s="5">
        <f t="shared" si="0"/>
        <v>66</v>
      </c>
      <c r="M14" s="1">
        <f t="shared" si="1"/>
        <v>0.94285714285714284</v>
      </c>
      <c r="N14" s="3">
        <f t="shared" si="2"/>
        <v>12973.714285714286</v>
      </c>
      <c r="O14" s="3">
        <f t="shared" si="3"/>
        <v>786.28571428571377</v>
      </c>
    </row>
    <row r="15" spans="1:15" x14ac:dyDescent="0.25">
      <c r="A15" s="4" t="s">
        <v>983</v>
      </c>
      <c r="B15" s="5" t="s">
        <v>2275</v>
      </c>
      <c r="C15" s="5">
        <v>200</v>
      </c>
      <c r="D15" s="5">
        <v>39.700000000000003</v>
      </c>
      <c r="E15" s="7">
        <f>VLOOKUP(C15,'Taux unitaires'!B:C,2,FALSE)</f>
        <v>1450</v>
      </c>
      <c r="F15" s="6">
        <f t="shared" si="4"/>
        <v>57565.000000000007</v>
      </c>
      <c r="G15" s="5">
        <f>VLOOKUP(B15,'Durée de vie utile'!$C$8:$E$13,3,FALSE)</f>
        <v>100</v>
      </c>
      <c r="H15" s="5">
        <f>VLOOKUP(B15,'Durée de vie utile'!$C$8:$D$13,2,FALSE)</f>
        <v>70</v>
      </c>
      <c r="I15" s="6">
        <f t="shared" si="5"/>
        <v>822.357142857143</v>
      </c>
      <c r="J15" s="6">
        <f>(F15/(1+'Autres hypothèses'!$D$5))*('Autres hypothèses'!$D$5/(((1+'Autres hypothèses'!$D$5)^'Conduite principale d''eau'!H15-1)))</f>
        <v>566.12160607105909</v>
      </c>
      <c r="K15" s="5">
        <v>1956</v>
      </c>
      <c r="L15" s="5">
        <f t="shared" si="0"/>
        <v>66</v>
      </c>
      <c r="M15" s="1">
        <f t="shared" si="1"/>
        <v>0.94285714285714284</v>
      </c>
      <c r="N15" s="3">
        <f t="shared" si="2"/>
        <v>54275.571428571435</v>
      </c>
      <c r="O15" s="3">
        <f t="shared" si="3"/>
        <v>3289.4285714285725</v>
      </c>
    </row>
    <row r="16" spans="1:15" x14ac:dyDescent="0.25">
      <c r="A16" s="4" t="s">
        <v>984</v>
      </c>
      <c r="B16" s="5" t="s">
        <v>2276</v>
      </c>
      <c r="C16" s="5">
        <v>200</v>
      </c>
      <c r="D16" s="5">
        <v>26.1</v>
      </c>
      <c r="E16" s="7">
        <f>VLOOKUP(C16,'Taux unitaires'!B:C,2,FALSE)</f>
        <v>1450</v>
      </c>
      <c r="F16" s="6">
        <f t="shared" si="4"/>
        <v>37845</v>
      </c>
      <c r="G16" s="5">
        <f>VLOOKUP(B16,'Durée de vie utile'!$C$8:$E$13,3,FALSE)</f>
        <v>100</v>
      </c>
      <c r="H16" s="5">
        <f>VLOOKUP(B16,'Durée de vie utile'!$C$8:$D$13,2,FALSE)</f>
        <v>70</v>
      </c>
      <c r="I16" s="6">
        <f t="shared" si="5"/>
        <v>540.64285714285711</v>
      </c>
      <c r="J16" s="6">
        <f>(F16/(1+'Autres hypothèses'!$D$5))*('Autres hypothèses'!$D$5/(((1+'Autres hypothèses'!$D$5)^'Conduite principale d''eau'!H16-1)))</f>
        <v>372.18574101900856</v>
      </c>
      <c r="K16" s="5">
        <v>1956</v>
      </c>
      <c r="L16" s="5">
        <f t="shared" si="0"/>
        <v>66</v>
      </c>
      <c r="M16" s="1">
        <f t="shared" si="1"/>
        <v>0.94285714285714284</v>
      </c>
      <c r="N16" s="3">
        <f t="shared" si="2"/>
        <v>35682.428571428572</v>
      </c>
      <c r="O16" s="3">
        <f t="shared" si="3"/>
        <v>2162.5714285714275</v>
      </c>
    </row>
    <row r="17" spans="1:15" x14ac:dyDescent="0.25">
      <c r="A17" s="4" t="s">
        <v>985</v>
      </c>
      <c r="B17" s="5" t="s">
        <v>2277</v>
      </c>
      <c r="C17" s="5">
        <v>200</v>
      </c>
      <c r="D17" s="5">
        <v>86.199999999999989</v>
      </c>
      <c r="E17" s="7">
        <f>VLOOKUP(C17,'Taux unitaires'!B:C,2,FALSE)</f>
        <v>1450</v>
      </c>
      <c r="F17" s="6">
        <f t="shared" si="4"/>
        <v>124989.99999999999</v>
      </c>
      <c r="G17" s="5">
        <f>VLOOKUP(B17,'Durée de vie utile'!$C$8:$E$13,3,FALSE)</f>
        <v>100</v>
      </c>
      <c r="H17" s="5">
        <f>VLOOKUP(B17,'Durée de vie utile'!$C$8:$D$13,2,FALSE)</f>
        <v>70</v>
      </c>
      <c r="I17" s="6">
        <f t="shared" si="5"/>
        <v>1785.5714285714284</v>
      </c>
      <c r="J17" s="6">
        <f>(F17/(1+'Autres hypothèses'!$D$5))*('Autres hypothèses'!$D$5/(((1+'Autres hypothèses'!$D$5)^'Conduite principale d''eau'!H17-1)))</f>
        <v>1229.2111446681431</v>
      </c>
      <c r="K17" s="5">
        <v>1956</v>
      </c>
      <c r="L17" s="5">
        <f t="shared" si="0"/>
        <v>66</v>
      </c>
      <c r="M17" s="1">
        <f t="shared" si="1"/>
        <v>0.94285714285714284</v>
      </c>
      <c r="N17" s="3">
        <f t="shared" si="2"/>
        <v>117847.71428571428</v>
      </c>
      <c r="O17" s="3">
        <f t="shared" si="3"/>
        <v>7142.2857142857101</v>
      </c>
    </row>
    <row r="18" spans="1:15" x14ac:dyDescent="0.25">
      <c r="A18" s="4" t="s">
        <v>986</v>
      </c>
      <c r="B18" s="5" t="s">
        <v>2278</v>
      </c>
      <c r="C18" s="5">
        <v>150</v>
      </c>
      <c r="D18" s="5">
        <v>3.9</v>
      </c>
      <c r="E18" s="7">
        <f>VLOOKUP(C18,'Taux unitaires'!B:C,2,FALSE)</f>
        <v>1400</v>
      </c>
      <c r="F18" s="6">
        <f t="shared" si="4"/>
        <v>5460</v>
      </c>
      <c r="G18" s="5">
        <f>VLOOKUP(B18,'Durée de vie utile'!$C$8:$E$13,3,FALSE)</f>
        <v>100</v>
      </c>
      <c r="H18" s="5">
        <f>VLOOKUP(B18,'Durée de vie utile'!$C$8:$D$13,2,FALSE)</f>
        <v>70</v>
      </c>
      <c r="I18" s="6">
        <f t="shared" si="5"/>
        <v>78</v>
      </c>
      <c r="J18" s="6">
        <f>(F18/(1+'Autres hypothèses'!$D$5))*('Autres hypothèses'!$D$5/(((1+'Autres hypothèses'!$D$5)^'Conduite principale d''eau'!H18-1)))</f>
        <v>53.69623849818435</v>
      </c>
      <c r="K18" s="5">
        <v>1957</v>
      </c>
      <c r="L18" s="5">
        <f t="shared" si="0"/>
        <v>65</v>
      </c>
      <c r="M18" s="1">
        <f t="shared" si="1"/>
        <v>0.9285714285714286</v>
      </c>
      <c r="N18" s="3">
        <f t="shared" si="2"/>
        <v>5070</v>
      </c>
      <c r="O18" s="3">
        <f t="shared" si="3"/>
        <v>390</v>
      </c>
    </row>
    <row r="19" spans="1:15" x14ac:dyDescent="0.25">
      <c r="A19" s="4" t="s">
        <v>987</v>
      </c>
      <c r="B19" s="5" t="s">
        <v>2279</v>
      </c>
      <c r="C19" s="5">
        <v>150</v>
      </c>
      <c r="D19" s="5">
        <v>3.1</v>
      </c>
      <c r="E19" s="7">
        <f>VLOOKUP(C19,'Taux unitaires'!B:C,2,FALSE)</f>
        <v>1400</v>
      </c>
      <c r="F19" s="6">
        <f t="shared" si="4"/>
        <v>4340</v>
      </c>
      <c r="G19" s="5">
        <f>VLOOKUP(B19,'Durée de vie utile'!$C$8:$E$13,3,FALSE)</f>
        <v>100</v>
      </c>
      <c r="H19" s="5">
        <f>VLOOKUP(B19,'Durée de vie utile'!$C$8:$D$13,2,FALSE)</f>
        <v>70</v>
      </c>
      <c r="I19" s="6">
        <f t="shared" si="5"/>
        <v>62</v>
      </c>
      <c r="J19" s="6">
        <f>(F19/(1+'Autres hypothèses'!$D$5))*('Autres hypothèses'!$D$5/(((1+'Autres hypothèses'!$D$5)^'Conduite principale d''eau'!H19-1)))</f>
        <v>42.681625472915762</v>
      </c>
      <c r="K19" s="5">
        <v>1957</v>
      </c>
      <c r="L19" s="5">
        <f t="shared" si="0"/>
        <v>65</v>
      </c>
      <c r="M19" s="1">
        <f t="shared" si="1"/>
        <v>0.9285714285714286</v>
      </c>
      <c r="N19" s="3">
        <f t="shared" si="2"/>
        <v>4030</v>
      </c>
      <c r="O19" s="3">
        <f t="shared" si="3"/>
        <v>310</v>
      </c>
    </row>
    <row r="20" spans="1:15" x14ac:dyDescent="0.25">
      <c r="A20" s="4" t="s">
        <v>988</v>
      </c>
      <c r="B20" s="5" t="s">
        <v>2280</v>
      </c>
      <c r="C20" s="5">
        <v>200</v>
      </c>
      <c r="D20" s="5">
        <v>31.900000000000002</v>
      </c>
      <c r="E20" s="7">
        <f>VLOOKUP(C20,'Taux unitaires'!B:C,2,FALSE)</f>
        <v>1450</v>
      </c>
      <c r="F20" s="6">
        <f t="shared" si="4"/>
        <v>46255</v>
      </c>
      <c r="G20" s="5">
        <f>VLOOKUP(B20,'Durée de vie utile'!$C$8:$E$13,3,FALSE)</f>
        <v>100</v>
      </c>
      <c r="H20" s="5">
        <f>VLOOKUP(B20,'Durée de vie utile'!$C$8:$D$13,2,FALSE)</f>
        <v>70</v>
      </c>
      <c r="I20" s="6">
        <f t="shared" si="5"/>
        <v>660.78571428571433</v>
      </c>
      <c r="J20" s="6">
        <f>(F20/(1+'Autres hypothèses'!$D$5))*('Autres hypothèses'!$D$5/(((1+'Autres hypothèses'!$D$5)^'Conduite principale d''eau'!H20-1)))</f>
        <v>454.89368346767714</v>
      </c>
      <c r="K20" s="5">
        <v>1957</v>
      </c>
      <c r="L20" s="5">
        <f t="shared" si="0"/>
        <v>65</v>
      </c>
      <c r="M20" s="1">
        <f t="shared" si="1"/>
        <v>0.9285714285714286</v>
      </c>
      <c r="N20" s="3">
        <f t="shared" si="2"/>
        <v>42951.071428571428</v>
      </c>
      <c r="O20" s="3">
        <f t="shared" si="3"/>
        <v>3303.9285714285725</v>
      </c>
    </row>
    <row r="21" spans="1:15" x14ac:dyDescent="0.25">
      <c r="A21" s="4" t="s">
        <v>989</v>
      </c>
      <c r="B21" s="5" t="s">
        <v>2281</v>
      </c>
      <c r="C21" s="5">
        <v>150</v>
      </c>
      <c r="D21" s="5">
        <v>71</v>
      </c>
      <c r="E21" s="7">
        <f>VLOOKUP(C21,'Taux unitaires'!B:C,2,FALSE)</f>
        <v>1400</v>
      </c>
      <c r="F21" s="6">
        <f t="shared" si="4"/>
        <v>99400</v>
      </c>
      <c r="G21" s="5">
        <f>VLOOKUP(B21,'Durée de vie utile'!$C$8:$E$13,3,FALSE)</f>
        <v>100</v>
      </c>
      <c r="H21" s="5">
        <f>VLOOKUP(B21,'Durée de vie utile'!$C$8:$D$13,2,FALSE)</f>
        <v>70</v>
      </c>
      <c r="I21" s="6">
        <f t="shared" si="5"/>
        <v>1420</v>
      </c>
      <c r="J21" s="6">
        <f>(F21/(1+'Autres hypothèses'!$D$5))*('Autres hypothèses'!$D$5/(((1+'Autres hypothèses'!$D$5)^'Conduite principale d''eau'!H21-1)))</f>
        <v>977.54690599258697</v>
      </c>
      <c r="K21" s="5">
        <v>1957</v>
      </c>
      <c r="L21" s="5">
        <f t="shared" si="0"/>
        <v>65</v>
      </c>
      <c r="M21" s="1">
        <f t="shared" si="1"/>
        <v>0.9285714285714286</v>
      </c>
      <c r="N21" s="3">
        <f t="shared" si="2"/>
        <v>92300</v>
      </c>
      <c r="O21" s="3">
        <f t="shared" si="3"/>
        <v>7100</v>
      </c>
    </row>
    <row r="22" spans="1:15" x14ac:dyDescent="0.25">
      <c r="A22" s="4" t="s">
        <v>990</v>
      </c>
      <c r="B22" s="5" t="s">
        <v>2282</v>
      </c>
      <c r="C22" s="5">
        <v>150</v>
      </c>
      <c r="D22" s="5">
        <v>10.4</v>
      </c>
      <c r="E22" s="7">
        <f>VLOOKUP(C22,'Taux unitaires'!B:C,2,FALSE)</f>
        <v>1400</v>
      </c>
      <c r="F22" s="6">
        <f t="shared" si="4"/>
        <v>14560</v>
      </c>
      <c r="G22" s="5">
        <f>VLOOKUP(B22,'Durée de vie utile'!$C$8:$E$13,3,FALSE)</f>
        <v>100</v>
      </c>
      <c r="H22" s="5">
        <f>VLOOKUP(B22,'Durée de vie utile'!$C$8:$D$13,2,FALSE)</f>
        <v>70</v>
      </c>
      <c r="I22" s="6">
        <f t="shared" si="5"/>
        <v>208</v>
      </c>
      <c r="J22" s="6">
        <f>(F22/(1+'Autres hypothèses'!$D$5))*('Autres hypothèses'!$D$5/(((1+'Autres hypothèses'!$D$5)^'Conduite principale d''eau'!H22-1)))</f>
        <v>143.1899693284916</v>
      </c>
      <c r="K22" s="5">
        <v>1958</v>
      </c>
      <c r="L22" s="5">
        <f t="shared" si="0"/>
        <v>64</v>
      </c>
      <c r="M22" s="1">
        <f t="shared" si="1"/>
        <v>0.91428571428571426</v>
      </c>
      <c r="N22" s="3">
        <f t="shared" si="2"/>
        <v>13312</v>
      </c>
      <c r="O22" s="3">
        <f t="shared" si="3"/>
        <v>1248</v>
      </c>
    </row>
    <row r="23" spans="1:15" x14ac:dyDescent="0.25">
      <c r="A23" s="4" t="s">
        <v>991</v>
      </c>
      <c r="B23" s="5" t="s">
        <v>2283</v>
      </c>
      <c r="C23" s="5">
        <v>200</v>
      </c>
      <c r="D23" s="5">
        <v>89.6</v>
      </c>
      <c r="E23" s="7">
        <f>VLOOKUP(C23,'Taux unitaires'!B:C,2,FALSE)</f>
        <v>1450</v>
      </c>
      <c r="F23" s="6">
        <f t="shared" si="4"/>
        <v>129919.99999999999</v>
      </c>
      <c r="G23" s="5">
        <f>VLOOKUP(B23,'Durée de vie utile'!$C$8:$E$13,3,FALSE)</f>
        <v>100</v>
      </c>
      <c r="H23" s="5">
        <f>VLOOKUP(B23,'Durée de vie utile'!$C$8:$D$13,2,FALSE)</f>
        <v>70</v>
      </c>
      <c r="I23" s="6">
        <f t="shared" si="5"/>
        <v>1855.9999999999998</v>
      </c>
      <c r="J23" s="6">
        <f>(F23/(1+'Autres hypothèses'!$D$5))*('Autres hypothèses'!$D$5/(((1+'Autres hypothèses'!$D$5)^'Conduite principale d''eau'!H23-1)))</f>
        <v>1277.6951109311558</v>
      </c>
      <c r="K23" s="5">
        <v>1958</v>
      </c>
      <c r="L23" s="5">
        <f t="shared" si="0"/>
        <v>64</v>
      </c>
      <c r="M23" s="1">
        <f t="shared" si="1"/>
        <v>0.91428571428571426</v>
      </c>
      <c r="N23" s="3">
        <f t="shared" si="2"/>
        <v>118783.99999999999</v>
      </c>
      <c r="O23" s="3">
        <f t="shared" si="3"/>
        <v>11136</v>
      </c>
    </row>
    <row r="24" spans="1:15" x14ac:dyDescent="0.25">
      <c r="A24" s="4" t="s">
        <v>992</v>
      </c>
      <c r="B24" s="5" t="s">
        <v>2284</v>
      </c>
      <c r="C24" s="5">
        <v>300</v>
      </c>
      <c r="D24" s="5">
        <v>97.699999999999989</v>
      </c>
      <c r="E24" s="7">
        <f>VLOOKUP(C24,'Taux unitaires'!B:C,2,FALSE)</f>
        <v>1600</v>
      </c>
      <c r="F24" s="6">
        <f t="shared" si="4"/>
        <v>156319.99999999997</v>
      </c>
      <c r="G24" s="5">
        <f>VLOOKUP(B24,'Durée de vie utile'!$C$8:$E$13,3,FALSE)</f>
        <v>100</v>
      </c>
      <c r="H24" s="5">
        <f>VLOOKUP(B24,'Durée de vie utile'!$C$8:$D$13,2,FALSE)</f>
        <v>70</v>
      </c>
      <c r="I24" s="6">
        <f t="shared" si="5"/>
        <v>2233.1428571428569</v>
      </c>
      <c r="J24" s="6">
        <f>(F24/(1+'Autres hypothèses'!$D$5))*('Autres hypothèses'!$D$5/(((1+'Autres hypothèses'!$D$5)^'Conduite principale d''eau'!H24-1)))</f>
        <v>1537.3252750982008</v>
      </c>
      <c r="K24" s="5">
        <v>1958</v>
      </c>
      <c r="L24" s="5">
        <f t="shared" si="0"/>
        <v>64</v>
      </c>
      <c r="M24" s="1">
        <f t="shared" si="1"/>
        <v>0.91428571428571426</v>
      </c>
      <c r="N24" s="3">
        <f t="shared" si="2"/>
        <v>142921.14285714284</v>
      </c>
      <c r="O24" s="3">
        <f t="shared" si="3"/>
        <v>13398.85714285713</v>
      </c>
    </row>
    <row r="25" spans="1:15" x14ac:dyDescent="0.25">
      <c r="A25" s="4" t="s">
        <v>993</v>
      </c>
      <c r="B25" s="5" t="s">
        <v>2285</v>
      </c>
      <c r="C25" s="5">
        <v>200</v>
      </c>
      <c r="D25" s="5">
        <v>62.6</v>
      </c>
      <c r="E25" s="7">
        <f>VLOOKUP(C25,'Taux unitaires'!B:C,2,FALSE)</f>
        <v>1450</v>
      </c>
      <c r="F25" s="6">
        <f t="shared" si="4"/>
        <v>90770</v>
      </c>
      <c r="G25" s="5">
        <f>VLOOKUP(B25,'Durée de vie utile'!$C$8:$E$13,3,FALSE)</f>
        <v>100</v>
      </c>
      <c r="H25" s="5">
        <f>VLOOKUP(B25,'Durée de vie utile'!$C$8:$D$13,2,FALSE)</f>
        <v>70</v>
      </c>
      <c r="I25" s="6">
        <f t="shared" si="5"/>
        <v>1296.7142857142858</v>
      </c>
      <c r="J25" s="6">
        <f>(F25/(1+'Autres hypothèses'!$D$5))*('Autres hypothèses'!$D$5/(((1+'Autres hypothèses'!$D$5)^'Conduite principale d''eau'!H25-1)))</f>
        <v>892.67537884252624</v>
      </c>
      <c r="K25" s="5">
        <v>1958</v>
      </c>
      <c r="L25" s="5">
        <f t="shared" si="0"/>
        <v>64</v>
      </c>
      <c r="M25" s="1">
        <f t="shared" si="1"/>
        <v>0.91428571428571426</v>
      </c>
      <c r="N25" s="3">
        <f t="shared" si="2"/>
        <v>82989.71428571429</v>
      </c>
      <c r="O25" s="3">
        <f t="shared" si="3"/>
        <v>7780.2857142857101</v>
      </c>
    </row>
    <row r="26" spans="1:15" x14ac:dyDescent="0.25">
      <c r="A26" s="4" t="s">
        <v>994</v>
      </c>
      <c r="B26" s="5" t="s">
        <v>2286</v>
      </c>
      <c r="C26" s="5">
        <v>150</v>
      </c>
      <c r="D26" s="5">
        <v>20.6</v>
      </c>
      <c r="E26" s="7">
        <f>VLOOKUP(C26,'Taux unitaires'!B:C,2,FALSE)</f>
        <v>1400</v>
      </c>
      <c r="F26" s="6">
        <f t="shared" si="4"/>
        <v>28840.000000000004</v>
      </c>
      <c r="G26" s="5">
        <f>VLOOKUP(B26,'Durée de vie utile'!$C$8:$E$13,3,FALSE)</f>
        <v>100</v>
      </c>
      <c r="H26" s="5">
        <f>VLOOKUP(B26,'Durée de vie utile'!$C$8:$D$13,2,FALSE)</f>
        <v>70</v>
      </c>
      <c r="I26" s="6">
        <f t="shared" si="5"/>
        <v>412.00000000000006</v>
      </c>
      <c r="J26" s="6">
        <f>(F26/(1+'Autres hypothèses'!$D$5))*('Autres hypothèses'!$D$5/(((1+'Autres hypothèses'!$D$5)^'Conduite principale d''eau'!H26-1)))</f>
        <v>283.62628540066606</v>
      </c>
      <c r="K26" s="5">
        <v>1958</v>
      </c>
      <c r="L26" s="5">
        <f t="shared" si="0"/>
        <v>64</v>
      </c>
      <c r="M26" s="1">
        <f t="shared" si="1"/>
        <v>0.91428571428571426</v>
      </c>
      <c r="N26" s="3">
        <f t="shared" si="2"/>
        <v>26368.000000000004</v>
      </c>
      <c r="O26" s="3">
        <f t="shared" si="3"/>
        <v>2472</v>
      </c>
    </row>
    <row r="27" spans="1:15" x14ac:dyDescent="0.25">
      <c r="A27" s="4" t="s">
        <v>995</v>
      </c>
      <c r="B27" s="5" t="s">
        <v>2287</v>
      </c>
      <c r="C27" s="5">
        <v>200</v>
      </c>
      <c r="D27" s="5">
        <v>13</v>
      </c>
      <c r="E27" s="7">
        <f>VLOOKUP(C27,'Taux unitaires'!B:C,2,FALSE)</f>
        <v>1450</v>
      </c>
      <c r="F27" s="6">
        <f t="shared" si="4"/>
        <v>18850</v>
      </c>
      <c r="G27" s="5">
        <f>VLOOKUP(B27,'Durée de vie utile'!$C$8:$E$13,3,FALSE)</f>
        <v>100</v>
      </c>
      <c r="H27" s="5">
        <f>VLOOKUP(B27,'Durée de vie utile'!$C$8:$D$13,2,FALSE)</f>
        <v>70</v>
      </c>
      <c r="I27" s="6">
        <f t="shared" si="5"/>
        <v>269.28571428571428</v>
      </c>
      <c r="J27" s="6">
        <f>(F27/(1+'Autres hypothèses'!$D$5))*('Autres hypothèses'!$D$5/(((1+'Autres hypothèses'!$D$5)^'Conduite principale d''eau'!H27-1)))</f>
        <v>185.37987100563643</v>
      </c>
      <c r="K27" s="5">
        <v>1958</v>
      </c>
      <c r="L27" s="5">
        <f t="shared" si="0"/>
        <v>64</v>
      </c>
      <c r="M27" s="1">
        <f t="shared" si="1"/>
        <v>0.91428571428571426</v>
      </c>
      <c r="N27" s="3">
        <f t="shared" si="2"/>
        <v>17234.285714285714</v>
      </c>
      <c r="O27" s="3">
        <f t="shared" si="3"/>
        <v>1615.7142857142862</v>
      </c>
    </row>
    <row r="28" spans="1:15" x14ac:dyDescent="0.25">
      <c r="A28" s="4" t="s">
        <v>996</v>
      </c>
      <c r="B28" s="5" t="s">
        <v>2288</v>
      </c>
      <c r="C28" s="5">
        <v>150</v>
      </c>
      <c r="D28" s="5">
        <v>41.2</v>
      </c>
      <c r="E28" s="7">
        <f>VLOOKUP(C28,'Taux unitaires'!B:C,2,FALSE)</f>
        <v>1400</v>
      </c>
      <c r="F28" s="6">
        <f t="shared" si="4"/>
        <v>57680.000000000007</v>
      </c>
      <c r="G28" s="5">
        <f>VLOOKUP(B28,'Durée de vie utile'!$C$8:$E$13,3,FALSE)</f>
        <v>100</v>
      </c>
      <c r="H28" s="5">
        <f>VLOOKUP(B28,'Durée de vie utile'!$C$8:$D$13,2,FALSE)</f>
        <v>70</v>
      </c>
      <c r="I28" s="6">
        <f t="shared" si="5"/>
        <v>824.00000000000011</v>
      </c>
      <c r="J28" s="6">
        <f>(F28/(1+'Autres hypothèses'!$D$5))*('Autres hypothèses'!$D$5/(((1+'Autres hypothèses'!$D$5)^'Conduite principale d''eau'!H28-1)))</f>
        <v>567.25257080133213</v>
      </c>
      <c r="K28" s="5">
        <v>1959</v>
      </c>
      <c r="L28" s="5">
        <f t="shared" si="0"/>
        <v>63</v>
      </c>
      <c r="M28" s="1">
        <f t="shared" si="1"/>
        <v>0.9</v>
      </c>
      <c r="N28" s="3">
        <f t="shared" si="2"/>
        <v>51912.000000000007</v>
      </c>
      <c r="O28" s="3">
        <f t="shared" si="3"/>
        <v>5768</v>
      </c>
    </row>
    <row r="29" spans="1:15" x14ac:dyDescent="0.25">
      <c r="A29" s="4" t="s">
        <v>997</v>
      </c>
      <c r="B29" s="5" t="s">
        <v>2289</v>
      </c>
      <c r="C29" s="5">
        <v>150</v>
      </c>
      <c r="D29" s="5">
        <v>28.3</v>
      </c>
      <c r="E29" s="7">
        <f>VLOOKUP(C29,'Taux unitaires'!B:C,2,FALSE)</f>
        <v>1400</v>
      </c>
      <c r="F29" s="6">
        <f t="shared" si="4"/>
        <v>39620</v>
      </c>
      <c r="G29" s="5">
        <f>VLOOKUP(B29,'Durée de vie utile'!$C$8:$E$13,3,FALSE)</f>
        <v>100</v>
      </c>
      <c r="H29" s="5">
        <f>VLOOKUP(B29,'Durée de vie utile'!$C$8:$D$13,2,FALSE)</f>
        <v>70</v>
      </c>
      <c r="I29" s="6">
        <f t="shared" si="5"/>
        <v>566</v>
      </c>
      <c r="J29" s="6">
        <f>(F29/(1+'Autres hypothèses'!$D$5))*('Autres hypothèses'!$D$5/(((1+'Autres hypothèses'!$D$5)^'Conduite principale d''eau'!H29-1)))</f>
        <v>389.64193576887618</v>
      </c>
      <c r="K29" s="5">
        <v>1959</v>
      </c>
      <c r="L29" s="5">
        <f t="shared" si="0"/>
        <v>63</v>
      </c>
      <c r="M29" s="1">
        <f t="shared" si="1"/>
        <v>0.9</v>
      </c>
      <c r="N29" s="3">
        <f t="shared" si="2"/>
        <v>35658</v>
      </c>
      <c r="O29" s="3">
        <f t="shared" si="3"/>
        <v>3962</v>
      </c>
    </row>
    <row r="30" spans="1:15" x14ac:dyDescent="0.25">
      <c r="A30" s="4" t="s">
        <v>998</v>
      </c>
      <c r="B30" s="5" t="s">
        <v>2290</v>
      </c>
      <c r="C30" s="5">
        <v>200</v>
      </c>
      <c r="D30" s="5">
        <v>22.1</v>
      </c>
      <c r="E30" s="7">
        <f>VLOOKUP(C30,'Taux unitaires'!B:C,2,FALSE)</f>
        <v>1450</v>
      </c>
      <c r="F30" s="6">
        <f t="shared" si="4"/>
        <v>32045.000000000004</v>
      </c>
      <c r="G30" s="5">
        <f>VLOOKUP(B30,'Durée de vie utile'!$C$8:$E$13,3,FALSE)</f>
        <v>100</v>
      </c>
      <c r="H30" s="5">
        <f>VLOOKUP(B30,'Durée de vie utile'!$C$8:$D$13,2,FALSE)</f>
        <v>70</v>
      </c>
      <c r="I30" s="6">
        <f t="shared" si="5"/>
        <v>457.78571428571433</v>
      </c>
      <c r="J30" s="6">
        <f>(F30/(1+'Autres hypothèses'!$D$5))*('Autres hypothèses'!$D$5/(((1+'Autres hypothèses'!$D$5)^'Conduite principale d''eau'!H30-1)))</f>
        <v>315.14578070958197</v>
      </c>
      <c r="K30" s="5">
        <v>1959</v>
      </c>
      <c r="L30" s="5">
        <f t="shared" si="0"/>
        <v>63</v>
      </c>
      <c r="M30" s="1">
        <f t="shared" si="1"/>
        <v>0.9</v>
      </c>
      <c r="N30" s="3">
        <f t="shared" si="2"/>
        <v>28840.500000000004</v>
      </c>
      <c r="O30" s="3">
        <f t="shared" si="3"/>
        <v>3204.5</v>
      </c>
    </row>
    <row r="31" spans="1:15" x14ac:dyDescent="0.25">
      <c r="A31" s="4" t="s">
        <v>999</v>
      </c>
      <c r="B31" s="5" t="s">
        <v>2291</v>
      </c>
      <c r="C31" s="5">
        <v>150</v>
      </c>
      <c r="D31" s="5">
        <v>24.5</v>
      </c>
      <c r="E31" s="7">
        <f>VLOOKUP(C31,'Taux unitaires'!B:C,2,FALSE)</f>
        <v>1400</v>
      </c>
      <c r="F31" s="6">
        <f t="shared" si="4"/>
        <v>34300</v>
      </c>
      <c r="G31" s="5">
        <f>VLOOKUP(B31,'Durée de vie utile'!$C$8:$E$13,3,FALSE)</f>
        <v>100</v>
      </c>
      <c r="H31" s="5">
        <f>VLOOKUP(B31,'Durée de vie utile'!$C$8:$D$13,2,FALSE)</f>
        <v>70</v>
      </c>
      <c r="I31" s="6">
        <f t="shared" si="5"/>
        <v>490</v>
      </c>
      <c r="J31" s="6">
        <f>(F31/(1+'Autres hypothèses'!$D$5))*('Autres hypothèses'!$D$5/(((1+'Autres hypothèses'!$D$5)^'Conduite principale d''eau'!H31-1)))</f>
        <v>337.32252389885042</v>
      </c>
      <c r="K31" s="5">
        <v>1959</v>
      </c>
      <c r="L31" s="5">
        <f t="shared" si="0"/>
        <v>63</v>
      </c>
      <c r="M31" s="1">
        <f t="shared" si="1"/>
        <v>0.9</v>
      </c>
      <c r="N31" s="3">
        <f t="shared" si="2"/>
        <v>30870</v>
      </c>
      <c r="O31" s="3">
        <f t="shared" si="3"/>
        <v>3430</v>
      </c>
    </row>
    <row r="32" spans="1:15" x14ac:dyDescent="0.25">
      <c r="A32" s="4" t="s">
        <v>1000</v>
      </c>
      <c r="B32" s="5" t="s">
        <v>2292</v>
      </c>
      <c r="C32" s="5">
        <v>150</v>
      </c>
      <c r="D32" s="5">
        <v>48.7</v>
      </c>
      <c r="E32" s="7">
        <f>VLOOKUP(C32,'Taux unitaires'!B:C,2,FALSE)</f>
        <v>1400</v>
      </c>
      <c r="F32" s="6">
        <f t="shared" si="4"/>
        <v>68180</v>
      </c>
      <c r="G32" s="5">
        <f>VLOOKUP(B32,'Durée de vie utile'!$C$8:$E$13,3,FALSE)</f>
        <v>100</v>
      </c>
      <c r="H32" s="5">
        <f>VLOOKUP(B32,'Durée de vie utile'!$C$8:$D$13,2,FALSE)</f>
        <v>70</v>
      </c>
      <c r="I32" s="6">
        <f t="shared" si="5"/>
        <v>974</v>
      </c>
      <c r="J32" s="6">
        <f>(F32/(1+'Autres hypothèses'!$D$5))*('Autres hypothèses'!$D$5/(((1+'Autres hypothèses'!$D$5)^'Conduite principale d''eau'!H32-1)))</f>
        <v>670.51456791322505</v>
      </c>
      <c r="K32" s="5">
        <v>1959</v>
      </c>
      <c r="L32" s="5">
        <f t="shared" si="0"/>
        <v>63</v>
      </c>
      <c r="M32" s="1">
        <f t="shared" si="1"/>
        <v>0.9</v>
      </c>
      <c r="N32" s="3">
        <f t="shared" si="2"/>
        <v>61362</v>
      </c>
      <c r="O32" s="3">
        <f t="shared" si="3"/>
        <v>6818</v>
      </c>
    </row>
    <row r="33" spans="1:15" x14ac:dyDescent="0.25">
      <c r="A33" s="4" t="s">
        <v>1001</v>
      </c>
      <c r="B33" s="5" t="s">
        <v>2293</v>
      </c>
      <c r="C33" s="5">
        <v>200</v>
      </c>
      <c r="D33" s="5">
        <v>88.5</v>
      </c>
      <c r="E33" s="7">
        <f>VLOOKUP(C33,'Taux unitaires'!B:C,2,FALSE)</f>
        <v>1450</v>
      </c>
      <c r="F33" s="6">
        <f t="shared" si="4"/>
        <v>128325</v>
      </c>
      <c r="G33" s="5">
        <f>VLOOKUP(B33,'Durée de vie utile'!$C$8:$E$13,3,FALSE)</f>
        <v>100</v>
      </c>
      <c r="H33" s="5">
        <f>VLOOKUP(B33,'Durée de vie utile'!$C$8:$D$13,2,FALSE)</f>
        <v>70</v>
      </c>
      <c r="I33" s="6">
        <f t="shared" si="5"/>
        <v>1833.2142857142858</v>
      </c>
      <c r="J33" s="6">
        <f>(F33/(1+'Autres hypothèses'!$D$5))*('Autres hypothèses'!$D$5/(((1+'Autres hypothèses'!$D$5)^'Conduite principale d''eau'!H33-1)))</f>
        <v>1262.0091218460634</v>
      </c>
      <c r="K33" s="5">
        <v>1960</v>
      </c>
      <c r="L33" s="5">
        <f t="shared" si="0"/>
        <v>62</v>
      </c>
      <c r="M33" s="1">
        <f t="shared" si="1"/>
        <v>0.88571428571428568</v>
      </c>
      <c r="N33" s="3">
        <f t="shared" si="2"/>
        <v>113659.28571428571</v>
      </c>
      <c r="O33" s="3">
        <f t="shared" si="3"/>
        <v>14665.71428571429</v>
      </c>
    </row>
    <row r="34" spans="1:15" x14ac:dyDescent="0.25">
      <c r="A34" s="4" t="s">
        <v>1002</v>
      </c>
      <c r="B34" s="5" t="s">
        <v>2294</v>
      </c>
      <c r="C34" s="5">
        <v>150</v>
      </c>
      <c r="D34" s="5">
        <v>97.699999999999989</v>
      </c>
      <c r="E34" s="7">
        <f>VLOOKUP(C34,'Taux unitaires'!B:C,2,FALSE)</f>
        <v>1400</v>
      </c>
      <c r="F34" s="6">
        <f t="shared" si="4"/>
        <v>136779.99999999997</v>
      </c>
      <c r="G34" s="5">
        <f>VLOOKUP(B34,'Durée de vie utile'!$C$8:$E$13,3,FALSE)</f>
        <v>100</v>
      </c>
      <c r="H34" s="5">
        <f>VLOOKUP(B34,'Durée de vie utile'!$C$8:$D$13,2,FALSE)</f>
        <v>70</v>
      </c>
      <c r="I34" s="6">
        <f t="shared" si="5"/>
        <v>1953.9999999999995</v>
      </c>
      <c r="J34" s="6">
        <f>(F34/(1+'Autres hypothèses'!$D$5))*('Autres hypothèses'!$D$5/(((1+'Autres hypothèses'!$D$5)^'Conduite principale d''eau'!H34-1)))</f>
        <v>1345.1596157109257</v>
      </c>
      <c r="K34" s="5">
        <v>1960</v>
      </c>
      <c r="L34" s="5">
        <f t="shared" si="0"/>
        <v>62</v>
      </c>
      <c r="M34" s="1">
        <f t="shared" si="1"/>
        <v>0.88571428571428568</v>
      </c>
      <c r="N34" s="3">
        <f t="shared" si="2"/>
        <v>121147.99999999997</v>
      </c>
      <c r="O34" s="3">
        <f t="shared" si="3"/>
        <v>15632</v>
      </c>
    </row>
    <row r="35" spans="1:15" x14ac:dyDescent="0.25">
      <c r="A35" s="4" t="s">
        <v>1003</v>
      </c>
      <c r="B35" s="5" t="s">
        <v>2295</v>
      </c>
      <c r="C35" s="5">
        <v>200</v>
      </c>
      <c r="D35" s="5">
        <v>66</v>
      </c>
      <c r="E35" s="7">
        <f>VLOOKUP(C35,'Taux unitaires'!B:C,2,FALSE)</f>
        <v>1450</v>
      </c>
      <c r="F35" s="6">
        <f t="shared" si="4"/>
        <v>95700</v>
      </c>
      <c r="G35" s="5">
        <f>VLOOKUP(B35,'Durée de vie utile'!$C$8:$E$13,3,FALSE)</f>
        <v>100</v>
      </c>
      <c r="H35" s="5">
        <f>VLOOKUP(B35,'Durée de vie utile'!$C$8:$D$13,2,FALSE)</f>
        <v>70</v>
      </c>
      <c r="I35" s="6">
        <f t="shared" si="5"/>
        <v>1367.1428571428571</v>
      </c>
      <c r="J35" s="6">
        <f>(F35/(1+'Autres hypothèses'!$D$5))*('Autres hypothèses'!$D$5/(((1+'Autres hypothèses'!$D$5)^'Conduite principale d''eau'!H35-1)))</f>
        <v>941.15934510553882</v>
      </c>
      <c r="K35" s="5">
        <v>1960</v>
      </c>
      <c r="L35" s="5">
        <f t="shared" si="0"/>
        <v>62</v>
      </c>
      <c r="M35" s="1">
        <f t="shared" si="1"/>
        <v>0.88571428571428568</v>
      </c>
      <c r="N35" s="3">
        <f t="shared" si="2"/>
        <v>84762.857142857145</v>
      </c>
      <c r="O35" s="3">
        <f t="shared" si="3"/>
        <v>10937.142857142855</v>
      </c>
    </row>
    <row r="36" spans="1:15" x14ac:dyDescent="0.25">
      <c r="A36" s="4" t="s">
        <v>1004</v>
      </c>
      <c r="B36" s="5" t="s">
        <v>2296</v>
      </c>
      <c r="C36" s="5">
        <v>200</v>
      </c>
      <c r="D36" s="5">
        <v>75.199999999999989</v>
      </c>
      <c r="E36" s="7">
        <f>VLOOKUP(C36,'Taux unitaires'!B:C,2,FALSE)</f>
        <v>1450</v>
      </c>
      <c r="F36" s="6">
        <f t="shared" si="4"/>
        <v>109039.99999999999</v>
      </c>
      <c r="G36" s="5">
        <f>VLOOKUP(B36,'Durée de vie utile'!$C$8:$E$13,3,FALSE)</f>
        <v>100</v>
      </c>
      <c r="H36" s="5">
        <f>VLOOKUP(B36,'Durée de vie utile'!$C$8:$D$13,2,FALSE)</f>
        <v>70</v>
      </c>
      <c r="I36" s="6">
        <f t="shared" si="5"/>
        <v>1557.7142857142856</v>
      </c>
      <c r="J36" s="6">
        <f>(F36/(1+'Autres hypothèses'!$D$5))*('Autres hypothèses'!$D$5/(((1+'Autres hypothèses'!$D$5)^'Conduite principale d''eau'!H36-1)))</f>
        <v>1072.3512538172199</v>
      </c>
      <c r="K36" s="5">
        <v>1960</v>
      </c>
      <c r="L36" s="5">
        <f t="shared" si="0"/>
        <v>62</v>
      </c>
      <c r="M36" s="1">
        <f t="shared" si="1"/>
        <v>0.88571428571428568</v>
      </c>
      <c r="N36" s="3">
        <f t="shared" si="2"/>
        <v>96578.285714285696</v>
      </c>
      <c r="O36" s="3">
        <f t="shared" si="3"/>
        <v>12461.71428571429</v>
      </c>
    </row>
    <row r="37" spans="1:15" x14ac:dyDescent="0.25">
      <c r="A37" s="4" t="s">
        <v>1005</v>
      </c>
      <c r="B37" s="5" t="s">
        <v>2297</v>
      </c>
      <c r="C37" s="5">
        <v>200</v>
      </c>
      <c r="D37" s="5">
        <v>68.099999999999994</v>
      </c>
      <c r="E37" s="7">
        <f>VLOOKUP(C37,'Taux unitaires'!B:C,2,FALSE)</f>
        <v>1450</v>
      </c>
      <c r="F37" s="6">
        <f t="shared" si="4"/>
        <v>98744.999999999985</v>
      </c>
      <c r="G37" s="5">
        <f>VLOOKUP(B37,'Durée de vie utile'!$C$8:$E$13,3,FALSE)</f>
        <v>100</v>
      </c>
      <c r="H37" s="5">
        <f>VLOOKUP(B37,'Durée de vie utile'!$C$8:$D$13,2,FALSE)</f>
        <v>70</v>
      </c>
      <c r="I37" s="6">
        <f t="shared" si="5"/>
        <v>1410.6428571428569</v>
      </c>
      <c r="J37" s="6">
        <f>(F37/(1+'Autres hypothèses'!$D$5))*('Autres hypothèses'!$D$5/(((1+'Autres hypothèses'!$D$5)^'Conduite principale d''eau'!H37-1)))</f>
        <v>971.10532426798761</v>
      </c>
      <c r="K37" s="5">
        <v>1961</v>
      </c>
      <c r="L37" s="5">
        <f t="shared" si="0"/>
        <v>61</v>
      </c>
      <c r="M37" s="1">
        <f t="shared" si="1"/>
        <v>0.87142857142857144</v>
      </c>
      <c r="N37" s="3">
        <f t="shared" si="2"/>
        <v>86049.214285714275</v>
      </c>
      <c r="O37" s="3">
        <f t="shared" si="3"/>
        <v>12695.78571428571</v>
      </c>
    </row>
    <row r="38" spans="1:15" x14ac:dyDescent="0.25">
      <c r="A38" s="4" t="s">
        <v>1006</v>
      </c>
      <c r="B38" s="5" t="s">
        <v>2298</v>
      </c>
      <c r="C38" s="5">
        <v>200</v>
      </c>
      <c r="D38" s="5">
        <v>30.3</v>
      </c>
      <c r="E38" s="7">
        <f>VLOOKUP(C38,'Taux unitaires'!B:C,2,FALSE)</f>
        <v>1450</v>
      </c>
      <c r="F38" s="6">
        <f t="shared" si="4"/>
        <v>43935</v>
      </c>
      <c r="G38" s="5">
        <f>VLOOKUP(B38,'Durée de vie utile'!$C$8:$E$13,3,FALSE)</f>
        <v>100</v>
      </c>
      <c r="H38" s="5">
        <f>VLOOKUP(B38,'Durée de vie utile'!$C$8:$D$13,2,FALSE)</f>
        <v>70</v>
      </c>
      <c r="I38" s="6">
        <f t="shared" si="5"/>
        <v>627.64285714285711</v>
      </c>
      <c r="J38" s="6">
        <f>(F38/(1+'Autres hypothèses'!$D$5))*('Autres hypothèses'!$D$5/(((1+'Autres hypothèses'!$D$5)^'Conduite principale d''eau'!H38-1)))</f>
        <v>432.07769934390649</v>
      </c>
      <c r="K38" s="5">
        <v>1961</v>
      </c>
      <c r="L38" s="5">
        <f t="shared" si="0"/>
        <v>61</v>
      </c>
      <c r="M38" s="1">
        <f t="shared" si="1"/>
        <v>0.87142857142857144</v>
      </c>
      <c r="N38" s="3">
        <f t="shared" si="2"/>
        <v>38286.21428571429</v>
      </c>
      <c r="O38" s="3">
        <f t="shared" si="3"/>
        <v>5648.7857142857101</v>
      </c>
    </row>
    <row r="39" spans="1:15" x14ac:dyDescent="0.25">
      <c r="A39" s="4" t="s">
        <v>1007</v>
      </c>
      <c r="B39" s="5" t="s">
        <v>2299</v>
      </c>
      <c r="C39" s="5">
        <v>150</v>
      </c>
      <c r="D39" s="5">
        <v>93.399999999999991</v>
      </c>
      <c r="E39" s="7">
        <f>VLOOKUP(C39,'Taux unitaires'!B:C,2,FALSE)</f>
        <v>1400</v>
      </c>
      <c r="F39" s="6">
        <f t="shared" si="4"/>
        <v>130759.99999999999</v>
      </c>
      <c r="G39" s="5">
        <f>VLOOKUP(B39,'Durée de vie utile'!$C$8:$E$13,3,FALSE)</f>
        <v>100</v>
      </c>
      <c r="H39" s="5">
        <f>VLOOKUP(B39,'Durée de vie utile'!$C$8:$D$13,2,FALSE)</f>
        <v>70</v>
      </c>
      <c r="I39" s="6">
        <f t="shared" si="5"/>
        <v>1867.9999999999998</v>
      </c>
      <c r="J39" s="6">
        <f>(F39/(1+'Autres hypothèses'!$D$5))*('Autres hypothèses'!$D$5/(((1+'Autres hypothèses'!$D$5)^'Conduite principale d''eau'!H39-1)))</f>
        <v>1285.9560707001071</v>
      </c>
      <c r="K39" s="5">
        <v>1961</v>
      </c>
      <c r="L39" s="5">
        <f t="shared" si="0"/>
        <v>61</v>
      </c>
      <c r="M39" s="1">
        <f t="shared" si="1"/>
        <v>0.87142857142857144</v>
      </c>
      <c r="N39" s="3">
        <f t="shared" si="2"/>
        <v>113947.99999999999</v>
      </c>
      <c r="O39" s="3">
        <f t="shared" si="3"/>
        <v>16812</v>
      </c>
    </row>
    <row r="40" spans="1:15" x14ac:dyDescent="0.25">
      <c r="A40" s="4" t="s">
        <v>1008</v>
      </c>
      <c r="B40" s="5" t="s">
        <v>2300</v>
      </c>
      <c r="C40" s="5">
        <v>200</v>
      </c>
      <c r="D40" s="5">
        <v>37.6</v>
      </c>
      <c r="E40" s="7">
        <f>VLOOKUP(C40,'Taux unitaires'!B:C,2,FALSE)</f>
        <v>1450</v>
      </c>
      <c r="F40" s="6">
        <f t="shared" si="4"/>
        <v>54520</v>
      </c>
      <c r="G40" s="5">
        <f>VLOOKUP(B40,'Durée de vie utile'!$C$8:$E$13,3,FALSE)</f>
        <v>100</v>
      </c>
      <c r="H40" s="5">
        <f>VLOOKUP(B40,'Durée de vie utile'!$C$8:$D$13,2,FALSE)</f>
        <v>70</v>
      </c>
      <c r="I40" s="6">
        <f t="shared" si="5"/>
        <v>778.85714285714289</v>
      </c>
      <c r="J40" s="6">
        <f>(F40/(1+'Autres hypothèses'!$D$5))*('Autres hypothèses'!$D$5/(((1+'Autres hypothèses'!$D$5)^'Conduite principale d''eau'!H40-1)))</f>
        <v>536.17562690861007</v>
      </c>
      <c r="K40" s="5">
        <v>1961</v>
      </c>
      <c r="L40" s="5">
        <f t="shared" si="0"/>
        <v>61</v>
      </c>
      <c r="M40" s="1">
        <f t="shared" si="1"/>
        <v>0.87142857142857144</v>
      </c>
      <c r="N40" s="3">
        <f t="shared" si="2"/>
        <v>47510.285714285717</v>
      </c>
      <c r="O40" s="3">
        <f t="shared" si="3"/>
        <v>7009.7142857142826</v>
      </c>
    </row>
    <row r="41" spans="1:15" x14ac:dyDescent="0.25">
      <c r="A41" s="4" t="s">
        <v>1009</v>
      </c>
      <c r="B41" s="5" t="s">
        <v>2301</v>
      </c>
      <c r="C41" s="5">
        <v>150</v>
      </c>
      <c r="D41" s="5">
        <v>11.799999999999999</v>
      </c>
      <c r="E41" s="7">
        <f>VLOOKUP(C41,'Taux unitaires'!B:C,2,FALSE)</f>
        <v>1400</v>
      </c>
      <c r="F41" s="6">
        <f t="shared" si="4"/>
        <v>16520</v>
      </c>
      <c r="G41" s="5">
        <f>VLOOKUP(B41,'Durée de vie utile'!$C$8:$E$13,3,FALSE)</f>
        <v>100</v>
      </c>
      <c r="H41" s="5">
        <f>VLOOKUP(B41,'Durée de vie utile'!$C$8:$D$13,2,FALSE)</f>
        <v>70</v>
      </c>
      <c r="I41" s="6">
        <f t="shared" si="5"/>
        <v>236</v>
      </c>
      <c r="J41" s="6">
        <f>(F41/(1+'Autres hypothèses'!$D$5))*('Autres hypothèses'!$D$5/(((1+'Autres hypothèses'!$D$5)^'Conduite principale d''eau'!H41-1)))</f>
        <v>162.46554212271164</v>
      </c>
      <c r="K41" s="5">
        <v>1962</v>
      </c>
      <c r="L41" s="5">
        <f t="shared" si="0"/>
        <v>60</v>
      </c>
      <c r="M41" s="1">
        <f t="shared" si="1"/>
        <v>0.8571428571428571</v>
      </c>
      <c r="N41" s="3">
        <f t="shared" si="2"/>
        <v>14160</v>
      </c>
      <c r="O41" s="3">
        <f t="shared" si="3"/>
        <v>2360</v>
      </c>
    </row>
    <row r="42" spans="1:15" x14ac:dyDescent="0.25">
      <c r="A42" s="4" t="s">
        <v>1010</v>
      </c>
      <c r="B42" s="5" t="s">
        <v>2302</v>
      </c>
      <c r="C42" s="5">
        <v>200</v>
      </c>
      <c r="D42" s="5">
        <v>81.199999999999989</v>
      </c>
      <c r="E42" s="7">
        <f>VLOOKUP(C42,'Taux unitaires'!B:C,2,FALSE)</f>
        <v>1450</v>
      </c>
      <c r="F42" s="6">
        <f t="shared" si="4"/>
        <v>117739.99999999999</v>
      </c>
      <c r="G42" s="5">
        <f>VLOOKUP(B42,'Durée de vie utile'!$C$8:$E$13,3,FALSE)</f>
        <v>100</v>
      </c>
      <c r="H42" s="5">
        <f>VLOOKUP(B42,'Durée de vie utile'!$C$8:$D$13,2,FALSE)</f>
        <v>70</v>
      </c>
      <c r="I42" s="6">
        <f t="shared" si="5"/>
        <v>1681.9999999999998</v>
      </c>
      <c r="J42" s="6">
        <f>(F42/(1+'Autres hypothèses'!$D$5))*('Autres hypothèses'!$D$5/(((1+'Autres hypothèses'!$D$5)^'Conduite principale d''eau'!H42-1)))</f>
        <v>1157.9111942813597</v>
      </c>
      <c r="K42" s="5">
        <v>1962</v>
      </c>
      <c r="L42" s="5">
        <f t="shared" si="0"/>
        <v>60</v>
      </c>
      <c r="M42" s="1">
        <f t="shared" si="1"/>
        <v>0.8571428571428571</v>
      </c>
      <c r="N42" s="3">
        <f t="shared" si="2"/>
        <v>100919.99999999999</v>
      </c>
      <c r="O42" s="3">
        <f t="shared" si="3"/>
        <v>16820</v>
      </c>
    </row>
    <row r="43" spans="1:15" x14ac:dyDescent="0.25">
      <c r="A43" s="4" t="s">
        <v>1011</v>
      </c>
      <c r="B43" s="5" t="s">
        <v>2303</v>
      </c>
      <c r="C43" s="5">
        <v>200</v>
      </c>
      <c r="D43" s="5">
        <v>89.399999999999991</v>
      </c>
      <c r="E43" s="7">
        <f>VLOOKUP(C43,'Taux unitaires'!B:C,2,FALSE)</f>
        <v>1450</v>
      </c>
      <c r="F43" s="6">
        <f t="shared" si="4"/>
        <v>129629.99999999999</v>
      </c>
      <c r="G43" s="5">
        <f>VLOOKUP(B43,'Durée de vie utile'!$C$8:$E$13,3,FALSE)</f>
        <v>100</v>
      </c>
      <c r="H43" s="5">
        <f>VLOOKUP(B43,'Durée de vie utile'!$C$8:$D$13,2,FALSE)</f>
        <v>70</v>
      </c>
      <c r="I43" s="6">
        <f t="shared" si="5"/>
        <v>1851.8571428571427</v>
      </c>
      <c r="J43" s="6">
        <f>(F43/(1+'Autres hypothèses'!$D$5))*('Autres hypothèses'!$D$5/(((1+'Autres hypothèses'!$D$5)^'Conduite principale d''eau'!H43-1)))</f>
        <v>1274.8431129156843</v>
      </c>
      <c r="K43" s="5">
        <v>1962</v>
      </c>
      <c r="L43" s="5">
        <f t="shared" si="0"/>
        <v>60</v>
      </c>
      <c r="M43" s="1">
        <f t="shared" si="1"/>
        <v>0.8571428571428571</v>
      </c>
      <c r="N43" s="3">
        <f t="shared" si="2"/>
        <v>111111.42857142855</v>
      </c>
      <c r="O43" s="3">
        <f t="shared" si="3"/>
        <v>18518.571428571435</v>
      </c>
    </row>
    <row r="44" spans="1:15" x14ac:dyDescent="0.25">
      <c r="A44" s="4" t="s">
        <v>1012</v>
      </c>
      <c r="B44" s="5" t="s">
        <v>2304</v>
      </c>
      <c r="C44" s="5">
        <v>150</v>
      </c>
      <c r="D44" s="5">
        <v>12.299999999999999</v>
      </c>
      <c r="E44" s="7">
        <f>VLOOKUP(C44,'Taux unitaires'!B:C,2,FALSE)</f>
        <v>1400</v>
      </c>
      <c r="F44" s="6">
        <f t="shared" si="4"/>
        <v>17220</v>
      </c>
      <c r="G44" s="5">
        <f>VLOOKUP(B44,'Durée de vie utile'!$C$8:$E$13,3,FALSE)</f>
        <v>100</v>
      </c>
      <c r="H44" s="5">
        <f>VLOOKUP(B44,'Durée de vie utile'!$C$8:$D$13,2,FALSE)</f>
        <v>70</v>
      </c>
      <c r="I44" s="6">
        <f t="shared" si="5"/>
        <v>246</v>
      </c>
      <c r="J44" s="6">
        <f>(F44/(1+'Autres hypothèses'!$D$5))*('Autres hypothèses'!$D$5/(((1+'Autres hypothèses'!$D$5)^'Conduite principale d''eau'!H44-1)))</f>
        <v>169.34967526350451</v>
      </c>
      <c r="K44" s="5">
        <v>1962</v>
      </c>
      <c r="L44" s="5">
        <f t="shared" si="0"/>
        <v>60</v>
      </c>
      <c r="M44" s="1">
        <f t="shared" si="1"/>
        <v>0.8571428571428571</v>
      </c>
      <c r="N44" s="3">
        <f t="shared" si="2"/>
        <v>14760</v>
      </c>
      <c r="O44" s="3">
        <f t="shared" si="3"/>
        <v>2460</v>
      </c>
    </row>
    <row r="45" spans="1:15" x14ac:dyDescent="0.25">
      <c r="A45" s="4" t="s">
        <v>1013</v>
      </c>
      <c r="B45" s="5" t="s">
        <v>2305</v>
      </c>
      <c r="C45" s="5">
        <v>300</v>
      </c>
      <c r="D45" s="5">
        <v>45.2</v>
      </c>
      <c r="E45" s="7">
        <f>VLOOKUP(C45,'Taux unitaires'!B:C,2,FALSE)</f>
        <v>1600</v>
      </c>
      <c r="F45" s="6">
        <f t="shared" si="4"/>
        <v>72320</v>
      </c>
      <c r="G45" s="5">
        <f>VLOOKUP(B45,'Durée de vie utile'!$C$8:$E$13,3,FALSE)</f>
        <v>100</v>
      </c>
      <c r="H45" s="5">
        <f>VLOOKUP(B45,'Durée de vie utile'!$C$8:$D$13,2,FALSE)</f>
        <v>70</v>
      </c>
      <c r="I45" s="6">
        <f t="shared" si="5"/>
        <v>1033.1428571428571</v>
      </c>
      <c r="J45" s="6">
        <f>(F45/(1+'Autres hypothèses'!$D$5))*('Autres hypothèses'!$D$5/(((1+'Autres hypothèses'!$D$5)^'Conduite principale d''eau'!H45-1)))</f>
        <v>711.22929820305717</v>
      </c>
      <c r="K45" s="5">
        <v>1963</v>
      </c>
      <c r="L45" s="5">
        <f t="shared" si="0"/>
        <v>59</v>
      </c>
      <c r="M45" s="1">
        <f t="shared" si="1"/>
        <v>0.84285714285714286</v>
      </c>
      <c r="N45" s="3">
        <f t="shared" si="2"/>
        <v>60955.428571428572</v>
      </c>
      <c r="O45" s="3">
        <f t="shared" si="3"/>
        <v>11364.571428571428</v>
      </c>
    </row>
    <row r="46" spans="1:15" x14ac:dyDescent="0.25">
      <c r="A46" s="4" t="s">
        <v>1014</v>
      </c>
      <c r="B46" s="5" t="s">
        <v>2306</v>
      </c>
      <c r="C46" s="5">
        <v>150</v>
      </c>
      <c r="D46" s="5">
        <v>79.699999999999989</v>
      </c>
      <c r="E46" s="7">
        <f>VLOOKUP(C46,'Taux unitaires'!B:C,2,FALSE)</f>
        <v>1400</v>
      </c>
      <c r="F46" s="6">
        <f t="shared" si="4"/>
        <v>111579.99999999999</v>
      </c>
      <c r="G46" s="5">
        <f>VLOOKUP(B46,'Durée de vie utile'!$C$8:$E$13,3,FALSE)</f>
        <v>100</v>
      </c>
      <c r="H46" s="5">
        <f>VLOOKUP(B46,'Durée de vie utile'!$C$8:$D$13,2,FALSE)</f>
        <v>70</v>
      </c>
      <c r="I46" s="6">
        <f t="shared" si="5"/>
        <v>1593.9999999999998</v>
      </c>
      <c r="J46" s="6">
        <f>(F46/(1+'Autres hypothèses'!$D$5))*('Autres hypothèses'!$D$5/(((1+'Autres hypothèses'!$D$5)^'Conduite principale d''eau'!H46-1)))</f>
        <v>1097.3308226423826</v>
      </c>
      <c r="K46" s="5">
        <v>1963</v>
      </c>
      <c r="L46" s="5">
        <f t="shared" si="0"/>
        <v>59</v>
      </c>
      <c r="M46" s="1">
        <f t="shared" si="1"/>
        <v>0.84285714285714286</v>
      </c>
      <c r="N46" s="3">
        <f t="shared" si="2"/>
        <v>94045.999999999985</v>
      </c>
      <c r="O46" s="3">
        <f t="shared" si="3"/>
        <v>17534</v>
      </c>
    </row>
    <row r="47" spans="1:15" x14ac:dyDescent="0.25">
      <c r="A47" s="4" t="s">
        <v>1015</v>
      </c>
      <c r="B47" s="5" t="s">
        <v>2307</v>
      </c>
      <c r="C47" s="5">
        <v>200</v>
      </c>
      <c r="D47" s="5">
        <v>16.900000000000002</v>
      </c>
      <c r="E47" s="7">
        <f>VLOOKUP(C47,'Taux unitaires'!B:C,2,FALSE)</f>
        <v>1450</v>
      </c>
      <c r="F47" s="6">
        <f t="shared" si="4"/>
        <v>24505.000000000004</v>
      </c>
      <c r="G47" s="5">
        <f>VLOOKUP(B47,'Durée de vie utile'!$C$8:$E$13,3,FALSE)</f>
        <v>100</v>
      </c>
      <c r="H47" s="5">
        <f>VLOOKUP(B47,'Durée de vie utile'!$C$8:$D$13,2,FALSE)</f>
        <v>70</v>
      </c>
      <c r="I47" s="6">
        <f t="shared" si="5"/>
        <v>350.07142857142861</v>
      </c>
      <c r="J47" s="6">
        <f>(F47/(1+'Autres hypothèses'!$D$5))*('Autres hypothèses'!$D$5/(((1+'Autres hypothèses'!$D$5)^'Conduite principale d''eau'!H47-1)))</f>
        <v>240.99383230732741</v>
      </c>
      <c r="K47" s="5">
        <v>1963</v>
      </c>
      <c r="L47" s="5">
        <f t="shared" si="0"/>
        <v>59</v>
      </c>
      <c r="M47" s="1">
        <f t="shared" si="1"/>
        <v>0.84285714285714286</v>
      </c>
      <c r="N47" s="3">
        <f t="shared" si="2"/>
        <v>20654.21428571429</v>
      </c>
      <c r="O47" s="3">
        <f t="shared" si="3"/>
        <v>3850.7857142857138</v>
      </c>
    </row>
    <row r="48" spans="1:15" x14ac:dyDescent="0.25">
      <c r="A48" s="4" t="s">
        <v>1016</v>
      </c>
      <c r="B48" s="5" t="s">
        <v>2308</v>
      </c>
      <c r="C48" s="5">
        <v>150</v>
      </c>
      <c r="D48" s="5">
        <v>56.5</v>
      </c>
      <c r="E48" s="7">
        <f>VLOOKUP(C48,'Taux unitaires'!B:C,2,FALSE)</f>
        <v>1400</v>
      </c>
      <c r="F48" s="6">
        <f t="shared" si="4"/>
        <v>79100</v>
      </c>
      <c r="G48" s="5">
        <f>VLOOKUP(B48,'Durée de vie utile'!$C$8:$E$13,3,FALSE)</f>
        <v>100</v>
      </c>
      <c r="H48" s="5">
        <f>VLOOKUP(B48,'Durée de vie utile'!$C$8:$D$13,2,FALSE)</f>
        <v>70</v>
      </c>
      <c r="I48" s="6">
        <f t="shared" si="5"/>
        <v>1130</v>
      </c>
      <c r="J48" s="6">
        <f>(F48/(1+'Autres hypothèses'!$D$5))*('Autres hypothèses'!$D$5/(((1+'Autres hypothèses'!$D$5)^'Conduite principale d''eau'!H48-1)))</f>
        <v>777.90704490959376</v>
      </c>
      <c r="K48" s="5">
        <v>1964</v>
      </c>
      <c r="L48" s="5">
        <f t="shared" si="0"/>
        <v>58</v>
      </c>
      <c r="M48" s="1">
        <f t="shared" si="1"/>
        <v>0.82857142857142863</v>
      </c>
      <c r="N48" s="3">
        <f t="shared" si="2"/>
        <v>65540</v>
      </c>
      <c r="O48" s="3">
        <f t="shared" si="3"/>
        <v>13560</v>
      </c>
    </row>
    <row r="49" spans="1:15" x14ac:dyDescent="0.25">
      <c r="A49" s="4" t="s">
        <v>1017</v>
      </c>
      <c r="B49" s="5" t="s">
        <v>2309</v>
      </c>
      <c r="C49" s="5">
        <v>200</v>
      </c>
      <c r="D49" s="5">
        <v>13</v>
      </c>
      <c r="E49" s="7">
        <f>VLOOKUP(C49,'Taux unitaires'!B:C,2,FALSE)</f>
        <v>1450</v>
      </c>
      <c r="F49" s="6">
        <f t="shared" si="4"/>
        <v>18850</v>
      </c>
      <c r="G49" s="5">
        <f>VLOOKUP(B49,'Durée de vie utile'!$C$8:$E$13,3,FALSE)</f>
        <v>100</v>
      </c>
      <c r="H49" s="5">
        <f>VLOOKUP(B49,'Durée de vie utile'!$C$8:$D$13,2,FALSE)</f>
        <v>70</v>
      </c>
      <c r="I49" s="6">
        <f t="shared" si="5"/>
        <v>269.28571428571428</v>
      </c>
      <c r="J49" s="6">
        <f>(F49/(1+'Autres hypothèses'!$D$5))*('Autres hypothèses'!$D$5/(((1+'Autres hypothèses'!$D$5)^'Conduite principale d''eau'!H49-1)))</f>
        <v>185.37987100563643</v>
      </c>
      <c r="K49" s="5">
        <v>1964</v>
      </c>
      <c r="L49" s="5">
        <f t="shared" si="0"/>
        <v>58</v>
      </c>
      <c r="M49" s="1">
        <f t="shared" si="1"/>
        <v>0.82857142857142863</v>
      </c>
      <c r="N49" s="3">
        <f t="shared" si="2"/>
        <v>15618.571428571429</v>
      </c>
      <c r="O49" s="3">
        <f t="shared" si="3"/>
        <v>3231.4285714285706</v>
      </c>
    </row>
    <row r="50" spans="1:15" x14ac:dyDescent="0.25">
      <c r="A50" s="4" t="s">
        <v>1018</v>
      </c>
      <c r="B50" s="5" t="s">
        <v>2310</v>
      </c>
      <c r="C50" s="5">
        <v>200</v>
      </c>
      <c r="D50" s="5">
        <v>83.699999999999989</v>
      </c>
      <c r="E50" s="7">
        <f>VLOOKUP(C50,'Taux unitaires'!B:C,2,FALSE)</f>
        <v>1450</v>
      </c>
      <c r="F50" s="6">
        <f t="shared" si="4"/>
        <v>121364.99999999999</v>
      </c>
      <c r="G50" s="5">
        <f>VLOOKUP(B50,'Durée de vie utile'!$C$8:$E$13,3,FALSE)</f>
        <v>100</v>
      </c>
      <c r="H50" s="5">
        <f>VLOOKUP(B50,'Durée de vie utile'!$C$8:$D$13,2,FALSE)</f>
        <v>70</v>
      </c>
      <c r="I50" s="6">
        <f t="shared" si="5"/>
        <v>1733.785714285714</v>
      </c>
      <c r="J50" s="6">
        <f>(F50/(1+'Autres hypothèses'!$D$5))*('Autres hypothèses'!$D$5/(((1+'Autres hypothèses'!$D$5)^'Conduite principale d''eau'!H50-1)))</f>
        <v>1193.5611694747515</v>
      </c>
      <c r="K50" s="5">
        <v>1964</v>
      </c>
      <c r="L50" s="5">
        <f t="shared" si="0"/>
        <v>58</v>
      </c>
      <c r="M50" s="1">
        <f t="shared" si="1"/>
        <v>0.82857142857142863</v>
      </c>
      <c r="N50" s="3">
        <f t="shared" si="2"/>
        <v>100559.57142857142</v>
      </c>
      <c r="O50" s="3">
        <f t="shared" si="3"/>
        <v>20805.428571428565</v>
      </c>
    </row>
    <row r="51" spans="1:15" x14ac:dyDescent="0.25">
      <c r="A51" s="4" t="s">
        <v>1019</v>
      </c>
      <c r="B51" s="5" t="s">
        <v>2311</v>
      </c>
      <c r="C51" s="5">
        <v>200</v>
      </c>
      <c r="D51" s="5">
        <v>25.700000000000003</v>
      </c>
      <c r="E51" s="7">
        <f>VLOOKUP(C51,'Taux unitaires'!B:C,2,FALSE)</f>
        <v>1450</v>
      </c>
      <c r="F51" s="6">
        <f t="shared" si="4"/>
        <v>37265.000000000007</v>
      </c>
      <c r="G51" s="5">
        <f>VLOOKUP(B51,'Durée de vie utile'!$C$8:$E$13,3,FALSE)</f>
        <v>125</v>
      </c>
      <c r="H51" s="5">
        <f>VLOOKUP(B51,'Durée de vie utile'!$C$8:$D$13,2,FALSE)</f>
        <v>80</v>
      </c>
      <c r="I51" s="6">
        <f t="shared" si="5"/>
        <v>465.81250000000011</v>
      </c>
      <c r="J51" s="6">
        <f>(F51/(1+'Autres hypothèses'!$D$5))*('Autres hypothèses'!$D$5/(((1+'Autres hypothèses'!$D$5)^'Conduite principale d''eau'!H51-1)))</f>
        <v>303.24301925838114</v>
      </c>
      <c r="K51" s="5">
        <v>1965</v>
      </c>
      <c r="L51" s="5">
        <f t="shared" si="0"/>
        <v>57</v>
      </c>
      <c r="M51" s="1">
        <f t="shared" si="1"/>
        <v>0.71250000000000002</v>
      </c>
      <c r="N51" s="3">
        <f t="shared" si="2"/>
        <v>26551.312500000007</v>
      </c>
      <c r="O51" s="3">
        <f t="shared" si="3"/>
        <v>10713.6875</v>
      </c>
    </row>
    <row r="52" spans="1:15" x14ac:dyDescent="0.25">
      <c r="A52" s="4" t="s">
        <v>1020</v>
      </c>
      <c r="B52" s="5" t="s">
        <v>2312</v>
      </c>
      <c r="C52" s="5">
        <v>200</v>
      </c>
      <c r="D52" s="5">
        <v>62.1</v>
      </c>
      <c r="E52" s="7">
        <f>VLOOKUP(C52,'Taux unitaires'!B:C,2,FALSE)</f>
        <v>1450</v>
      </c>
      <c r="F52" s="6">
        <f t="shared" si="4"/>
        <v>90045</v>
      </c>
      <c r="G52" s="5">
        <f>VLOOKUP(B52,'Durée de vie utile'!$C$8:$E$13,3,FALSE)</f>
        <v>100</v>
      </c>
      <c r="H52" s="5">
        <f>VLOOKUP(B52,'Durée de vie utile'!$C$8:$D$13,2,FALSE)</f>
        <v>70</v>
      </c>
      <c r="I52" s="6">
        <f t="shared" si="5"/>
        <v>1286.3571428571429</v>
      </c>
      <c r="J52" s="6">
        <f>(F52/(1+'Autres hypothèses'!$D$5))*('Autres hypothèses'!$D$5/(((1+'Autres hypothèses'!$D$5)^'Conduite principale d''eau'!H52-1)))</f>
        <v>885.54538380384793</v>
      </c>
      <c r="K52" s="5">
        <v>1965</v>
      </c>
      <c r="L52" s="5">
        <f t="shared" si="0"/>
        <v>57</v>
      </c>
      <c r="M52" s="1">
        <f t="shared" si="1"/>
        <v>0.81428571428571428</v>
      </c>
      <c r="N52" s="3">
        <f t="shared" si="2"/>
        <v>73322.357142857145</v>
      </c>
      <c r="O52" s="3">
        <f t="shared" si="3"/>
        <v>16722.642857142855</v>
      </c>
    </row>
    <row r="53" spans="1:15" x14ac:dyDescent="0.25">
      <c r="A53" s="4" t="s">
        <v>1021</v>
      </c>
      <c r="B53" s="5" t="s">
        <v>2313</v>
      </c>
      <c r="C53" s="5">
        <v>150</v>
      </c>
      <c r="D53" s="5">
        <v>83.6</v>
      </c>
      <c r="E53" s="7">
        <f>VLOOKUP(C53,'Taux unitaires'!B:C,2,FALSE)</f>
        <v>1400</v>
      </c>
      <c r="F53" s="6">
        <f t="shared" si="4"/>
        <v>117039.99999999999</v>
      </c>
      <c r="G53" s="5">
        <f>VLOOKUP(B53,'Durée de vie utile'!$C$8:$E$13,3,FALSE)</f>
        <v>100</v>
      </c>
      <c r="H53" s="5">
        <f>VLOOKUP(B53,'Durée de vie utile'!$C$8:$D$13,2,FALSE)</f>
        <v>70</v>
      </c>
      <c r="I53" s="6">
        <f t="shared" si="5"/>
        <v>1671.9999999999998</v>
      </c>
      <c r="J53" s="6">
        <f>(F53/(1+'Autres hypothèses'!$D$5))*('Autres hypothèses'!$D$5/(((1+'Autres hypothèses'!$D$5)^'Conduite principale d''eau'!H53-1)))</f>
        <v>1151.027061140567</v>
      </c>
      <c r="K53" s="5">
        <v>1965</v>
      </c>
      <c r="L53" s="5">
        <f t="shared" si="0"/>
        <v>57</v>
      </c>
      <c r="M53" s="1">
        <f t="shared" si="1"/>
        <v>0.81428571428571428</v>
      </c>
      <c r="N53" s="3">
        <f t="shared" si="2"/>
        <v>95303.999999999985</v>
      </c>
      <c r="O53" s="3">
        <f t="shared" si="3"/>
        <v>21736</v>
      </c>
    </row>
    <row r="54" spans="1:15" x14ac:dyDescent="0.25">
      <c r="A54" s="4" t="s">
        <v>1022</v>
      </c>
      <c r="B54" s="5" t="s">
        <v>2314</v>
      </c>
      <c r="C54" s="5">
        <v>150</v>
      </c>
      <c r="D54" s="5">
        <v>76.399999999999991</v>
      </c>
      <c r="E54" s="7">
        <f>VLOOKUP(C54,'Taux unitaires'!B:C,2,FALSE)</f>
        <v>1400</v>
      </c>
      <c r="F54" s="6">
        <f t="shared" si="4"/>
        <v>106959.99999999999</v>
      </c>
      <c r="G54" s="5">
        <f>VLOOKUP(B54,'Durée de vie utile'!$C$8:$E$13,3,FALSE)</f>
        <v>100</v>
      </c>
      <c r="H54" s="5">
        <f>VLOOKUP(B54,'Durée de vie utile'!$C$8:$D$13,2,FALSE)</f>
        <v>70</v>
      </c>
      <c r="I54" s="6">
        <f t="shared" si="5"/>
        <v>1527.9999999999998</v>
      </c>
      <c r="J54" s="6">
        <f>(F54/(1+'Autres hypothèses'!$D$5))*('Autres hypothèses'!$D$5/(((1+'Autres hypothèses'!$D$5)^'Conduite principale d''eau'!H54-1)))</f>
        <v>1051.8955439131496</v>
      </c>
      <c r="K54" s="5">
        <v>1965</v>
      </c>
      <c r="L54" s="5">
        <f t="shared" si="0"/>
        <v>57</v>
      </c>
      <c r="M54" s="1">
        <f t="shared" si="1"/>
        <v>0.81428571428571428</v>
      </c>
      <c r="N54" s="3">
        <f t="shared" si="2"/>
        <v>87095.999999999985</v>
      </c>
      <c r="O54" s="3">
        <f t="shared" si="3"/>
        <v>19864</v>
      </c>
    </row>
    <row r="55" spans="1:15" x14ac:dyDescent="0.25">
      <c r="A55" s="4" t="s">
        <v>1023</v>
      </c>
      <c r="B55" s="5" t="s">
        <v>2315</v>
      </c>
      <c r="C55" s="5">
        <v>200</v>
      </c>
      <c r="D55" s="5">
        <v>31.8</v>
      </c>
      <c r="E55" s="7">
        <f>VLOOKUP(C55,'Taux unitaires'!B:C,2,FALSE)</f>
        <v>1450</v>
      </c>
      <c r="F55" s="6">
        <f t="shared" si="4"/>
        <v>46110</v>
      </c>
      <c r="G55" s="5">
        <f>VLOOKUP(B55,'Durée de vie utile'!$C$8:$E$13,3,FALSE)</f>
        <v>100</v>
      </c>
      <c r="H55" s="5">
        <f>VLOOKUP(B55,'Durée de vie utile'!$C$8:$D$13,2,FALSE)</f>
        <v>70</v>
      </c>
      <c r="I55" s="6">
        <f t="shared" si="5"/>
        <v>658.71428571428567</v>
      </c>
      <c r="J55" s="6">
        <f>(F55/(1+'Autres hypothèses'!$D$5))*('Autres hypothèses'!$D$5/(((1+'Autres hypothèses'!$D$5)^'Conduite principale d''eau'!H55-1)))</f>
        <v>453.46768445994149</v>
      </c>
      <c r="K55" s="5">
        <v>1965</v>
      </c>
      <c r="L55" s="5">
        <f t="shared" si="0"/>
        <v>57</v>
      </c>
      <c r="M55" s="1">
        <f t="shared" si="1"/>
        <v>0.81428571428571428</v>
      </c>
      <c r="N55" s="3">
        <f t="shared" si="2"/>
        <v>37546.714285714283</v>
      </c>
      <c r="O55" s="3">
        <f t="shared" si="3"/>
        <v>8563.2857142857174</v>
      </c>
    </row>
    <row r="56" spans="1:15" x14ac:dyDescent="0.25">
      <c r="A56" s="4" t="s">
        <v>1024</v>
      </c>
      <c r="B56" s="5" t="s">
        <v>2316</v>
      </c>
      <c r="C56" s="5">
        <v>200</v>
      </c>
      <c r="D56" s="5">
        <v>46.1</v>
      </c>
      <c r="E56" s="7">
        <f>VLOOKUP(C56,'Taux unitaires'!B:C,2,FALSE)</f>
        <v>1450</v>
      </c>
      <c r="F56" s="6">
        <f t="shared" si="4"/>
        <v>66845</v>
      </c>
      <c r="G56" s="5">
        <f>VLOOKUP(B56,'Durée de vie utile'!$C$8:$E$13,3,FALSE)</f>
        <v>100</v>
      </c>
      <c r="H56" s="5">
        <f>VLOOKUP(B56,'Durée de vie utile'!$C$8:$D$13,2,FALSE)</f>
        <v>70</v>
      </c>
      <c r="I56" s="6">
        <f t="shared" si="5"/>
        <v>954.92857142857144</v>
      </c>
      <c r="J56" s="6">
        <f>(F56/(1+'Autres hypothèses'!$D$5))*('Autres hypothèses'!$D$5/(((1+'Autres hypothèses'!$D$5)^'Conduite principale d''eau'!H56-1)))</f>
        <v>657.38554256614157</v>
      </c>
      <c r="K56" s="5">
        <v>1965</v>
      </c>
      <c r="L56" s="5">
        <f t="shared" si="0"/>
        <v>57</v>
      </c>
      <c r="M56" s="1">
        <f t="shared" si="1"/>
        <v>0.81428571428571428</v>
      </c>
      <c r="N56" s="3">
        <f t="shared" si="2"/>
        <v>54430.928571428572</v>
      </c>
      <c r="O56" s="3">
        <f t="shared" si="3"/>
        <v>12414.071428571428</v>
      </c>
    </row>
    <row r="57" spans="1:15" x14ac:dyDescent="0.25">
      <c r="A57" s="4" t="s">
        <v>1025</v>
      </c>
      <c r="B57" s="5" t="s">
        <v>2317</v>
      </c>
      <c r="C57" s="5">
        <v>150</v>
      </c>
      <c r="D57" s="5">
        <v>59</v>
      </c>
      <c r="E57" s="7">
        <f>VLOOKUP(C57,'Taux unitaires'!B:C,2,FALSE)</f>
        <v>1400</v>
      </c>
      <c r="F57" s="6">
        <f t="shared" si="4"/>
        <v>82600</v>
      </c>
      <c r="G57" s="5">
        <f>VLOOKUP(B57,'Durée de vie utile'!$C$8:$E$13,3,FALSE)</f>
        <v>125</v>
      </c>
      <c r="H57" s="5">
        <f>VLOOKUP(B57,'Durée de vie utile'!$C$8:$D$13,2,FALSE)</f>
        <v>80</v>
      </c>
      <c r="I57" s="6">
        <f t="shared" si="5"/>
        <v>1032.5</v>
      </c>
      <c r="J57" s="6">
        <f>(F57/(1+'Autres hypothèses'!$D$5))*('Autres hypothèses'!$D$5/(((1+'Autres hypothèses'!$D$5)^'Conduite principale d''eau'!H57-1)))</f>
        <v>672.15546466502826</v>
      </c>
      <c r="K57" s="5">
        <v>1965</v>
      </c>
      <c r="L57" s="5">
        <f t="shared" si="0"/>
        <v>57</v>
      </c>
      <c r="M57" s="1">
        <f t="shared" si="1"/>
        <v>0.71250000000000002</v>
      </c>
      <c r="N57" s="3">
        <f t="shared" si="2"/>
        <v>58852.5</v>
      </c>
      <c r="O57" s="3">
        <f t="shared" si="3"/>
        <v>23747.5</v>
      </c>
    </row>
    <row r="58" spans="1:15" x14ac:dyDescent="0.25">
      <c r="A58" s="4" t="s">
        <v>1026</v>
      </c>
      <c r="B58" s="5" t="s">
        <v>2318</v>
      </c>
      <c r="C58" s="5">
        <v>150</v>
      </c>
      <c r="D58" s="5">
        <v>9.5</v>
      </c>
      <c r="E58" s="7">
        <f>VLOOKUP(C58,'Taux unitaires'!B:C,2,FALSE)</f>
        <v>1400</v>
      </c>
      <c r="F58" s="6">
        <f t="shared" si="4"/>
        <v>13300</v>
      </c>
      <c r="G58" s="5">
        <f>VLOOKUP(B58,'Durée de vie utile'!$C$8:$E$13,3,FALSE)</f>
        <v>125</v>
      </c>
      <c r="H58" s="5">
        <f>VLOOKUP(B58,'Durée de vie utile'!$C$8:$D$13,2,FALSE)</f>
        <v>80</v>
      </c>
      <c r="I58" s="6">
        <f t="shared" si="5"/>
        <v>166.25</v>
      </c>
      <c r="J58" s="6">
        <f>(F58/(1+'Autres hypothèses'!$D$5))*('Autres hypothèses'!$D$5/(((1+'Autres hypothèses'!$D$5)^'Conduite principale d''eau'!H58-1)))</f>
        <v>108.22842227657236</v>
      </c>
      <c r="K58" s="5">
        <v>1965</v>
      </c>
      <c r="L58" s="5">
        <f t="shared" si="0"/>
        <v>57</v>
      </c>
      <c r="M58" s="1">
        <f t="shared" si="1"/>
        <v>0.71250000000000002</v>
      </c>
      <c r="N58" s="3">
        <f t="shared" si="2"/>
        <v>9476.25</v>
      </c>
      <c r="O58" s="3">
        <f t="shared" si="3"/>
        <v>3823.75</v>
      </c>
    </row>
    <row r="59" spans="1:15" x14ac:dyDescent="0.25">
      <c r="A59" s="4" t="s">
        <v>1027</v>
      </c>
      <c r="B59" s="5" t="s">
        <v>2319</v>
      </c>
      <c r="C59" s="5">
        <v>150</v>
      </c>
      <c r="D59" s="5">
        <v>98.5</v>
      </c>
      <c r="E59" s="7">
        <f>VLOOKUP(C59,'Taux unitaires'!B:C,2,FALSE)</f>
        <v>1400</v>
      </c>
      <c r="F59" s="6">
        <f t="shared" si="4"/>
        <v>137900</v>
      </c>
      <c r="G59" s="5">
        <f>VLOOKUP(B59,'Durée de vie utile'!$C$8:$E$13,3,FALSE)</f>
        <v>125</v>
      </c>
      <c r="H59" s="5">
        <f>VLOOKUP(B59,'Durée de vie utile'!$C$8:$D$13,2,FALSE)</f>
        <v>80</v>
      </c>
      <c r="I59" s="6">
        <f t="shared" si="5"/>
        <v>1723.75</v>
      </c>
      <c r="J59" s="6">
        <f>(F59/(1+'Autres hypothèses'!$D$5))*('Autres hypothèses'!$D$5/(((1+'Autres hypothèses'!$D$5)^'Conduite principale d''eau'!H59-1)))</f>
        <v>1122.1578520255132</v>
      </c>
      <c r="K59" s="5">
        <v>1965</v>
      </c>
      <c r="L59" s="5">
        <f t="shared" si="0"/>
        <v>57</v>
      </c>
      <c r="M59" s="1">
        <f t="shared" si="1"/>
        <v>0.71250000000000002</v>
      </c>
      <c r="N59" s="3">
        <f t="shared" si="2"/>
        <v>98253.75</v>
      </c>
      <c r="O59" s="3">
        <f t="shared" si="3"/>
        <v>39646.25</v>
      </c>
    </row>
    <row r="60" spans="1:15" x14ac:dyDescent="0.25">
      <c r="A60" s="4" t="s">
        <v>1028</v>
      </c>
      <c r="B60" s="5" t="s">
        <v>2320</v>
      </c>
      <c r="C60" s="5">
        <v>200</v>
      </c>
      <c r="D60" s="5">
        <v>67.199999999999989</v>
      </c>
      <c r="E60" s="7">
        <f>VLOOKUP(C60,'Taux unitaires'!B:C,2,FALSE)</f>
        <v>1450</v>
      </c>
      <c r="F60" s="6">
        <f t="shared" si="4"/>
        <v>97439.999999999985</v>
      </c>
      <c r="G60" s="5">
        <f>VLOOKUP(B60,'Durée de vie utile'!$C$8:$E$13,3,FALSE)</f>
        <v>125</v>
      </c>
      <c r="H60" s="5">
        <f>VLOOKUP(B60,'Durée de vie utile'!$C$8:$D$13,2,FALSE)</f>
        <v>80</v>
      </c>
      <c r="I60" s="6">
        <f t="shared" si="5"/>
        <v>1217.9999999999998</v>
      </c>
      <c r="J60" s="6">
        <f>(F60/(1+'Autres hypothèses'!$D$5))*('Autres hypothèses'!$D$5/(((1+'Autres hypothèses'!$D$5)^'Conduite principale d''eau'!H60-1)))</f>
        <v>792.91559899467734</v>
      </c>
      <c r="K60" s="5">
        <v>1965</v>
      </c>
      <c r="L60" s="5">
        <f t="shared" si="0"/>
        <v>57</v>
      </c>
      <c r="M60" s="1">
        <f t="shared" si="1"/>
        <v>0.71250000000000002</v>
      </c>
      <c r="N60" s="3">
        <f t="shared" si="2"/>
        <v>69425.999999999985</v>
      </c>
      <c r="O60" s="3">
        <f t="shared" si="3"/>
        <v>28014</v>
      </c>
    </row>
    <row r="61" spans="1:15" x14ac:dyDescent="0.25">
      <c r="A61" s="4" t="s">
        <v>1029</v>
      </c>
      <c r="B61" s="5" t="s">
        <v>2321</v>
      </c>
      <c r="C61" s="5">
        <v>200</v>
      </c>
      <c r="D61" s="5">
        <v>2.6</v>
      </c>
      <c r="E61" s="7">
        <f>VLOOKUP(C61,'Taux unitaires'!B:C,2,FALSE)</f>
        <v>1450</v>
      </c>
      <c r="F61" s="6">
        <f t="shared" si="4"/>
        <v>3770</v>
      </c>
      <c r="G61" s="5">
        <f>VLOOKUP(B61,'Durée de vie utile'!$C$8:$E$13,3,FALSE)</f>
        <v>125</v>
      </c>
      <c r="H61" s="5">
        <f>VLOOKUP(B61,'Durée de vie utile'!$C$8:$D$13,2,FALSE)</f>
        <v>80</v>
      </c>
      <c r="I61" s="6">
        <f t="shared" si="5"/>
        <v>47.125</v>
      </c>
      <c r="J61" s="6">
        <f>(F61/(1+'Autres hypothèses'!$D$5))*('Autres hypothèses'!$D$5/(((1+'Autres hypothèses'!$D$5)^'Conduite principale d''eau'!H61-1)))</f>
        <v>30.678282103960733</v>
      </c>
      <c r="K61" s="5">
        <v>1965</v>
      </c>
      <c r="L61" s="5">
        <f t="shared" si="0"/>
        <v>57</v>
      </c>
      <c r="M61" s="1">
        <f t="shared" si="1"/>
        <v>0.71250000000000002</v>
      </c>
      <c r="N61" s="3">
        <f t="shared" si="2"/>
        <v>2686.125</v>
      </c>
      <c r="O61" s="3">
        <f t="shared" si="3"/>
        <v>1083.875</v>
      </c>
    </row>
    <row r="62" spans="1:15" x14ac:dyDescent="0.25">
      <c r="A62" s="4" t="s">
        <v>1030</v>
      </c>
      <c r="B62" s="5" t="s">
        <v>2322</v>
      </c>
      <c r="C62" s="5">
        <v>150</v>
      </c>
      <c r="D62" s="5">
        <v>25</v>
      </c>
      <c r="E62" s="7">
        <f>VLOOKUP(C62,'Taux unitaires'!B:C,2,FALSE)</f>
        <v>1400</v>
      </c>
      <c r="F62" s="6">
        <f t="shared" si="4"/>
        <v>35000</v>
      </c>
      <c r="G62" s="5">
        <f>VLOOKUP(B62,'Durée de vie utile'!$C$8:$E$13,3,FALSE)</f>
        <v>125</v>
      </c>
      <c r="H62" s="5">
        <f>VLOOKUP(B62,'Durée de vie utile'!$C$8:$D$13,2,FALSE)</f>
        <v>80</v>
      </c>
      <c r="I62" s="6">
        <f t="shared" si="5"/>
        <v>437.5</v>
      </c>
      <c r="J62" s="6">
        <f>(F62/(1+'Autres hypothèses'!$D$5))*('Autres hypothèses'!$D$5/(((1+'Autres hypothèses'!$D$5)^'Conduite principale d''eau'!H62-1)))</f>
        <v>284.81163756992726</v>
      </c>
      <c r="K62" s="5">
        <v>1965</v>
      </c>
      <c r="L62" s="5">
        <f t="shared" si="0"/>
        <v>57</v>
      </c>
      <c r="M62" s="1">
        <f t="shared" si="1"/>
        <v>0.71250000000000002</v>
      </c>
      <c r="N62" s="3">
        <f t="shared" si="2"/>
        <v>24937.5</v>
      </c>
      <c r="O62" s="3">
        <f t="shared" si="3"/>
        <v>10062.5</v>
      </c>
    </row>
    <row r="63" spans="1:15" x14ac:dyDescent="0.25">
      <c r="A63" s="4" t="s">
        <v>1031</v>
      </c>
      <c r="B63" s="5" t="s">
        <v>2323</v>
      </c>
      <c r="C63" s="5">
        <v>150</v>
      </c>
      <c r="D63" s="5">
        <v>92.899999999999991</v>
      </c>
      <c r="E63" s="7">
        <f>VLOOKUP(C63,'Taux unitaires'!B:C,2,FALSE)</f>
        <v>1400</v>
      </c>
      <c r="F63" s="6">
        <f t="shared" si="4"/>
        <v>130059.99999999999</v>
      </c>
      <c r="G63" s="5">
        <f>VLOOKUP(B63,'Durée de vie utile'!$C$8:$E$13,3,FALSE)</f>
        <v>125</v>
      </c>
      <c r="H63" s="5">
        <f>VLOOKUP(B63,'Durée de vie utile'!$C$8:$D$13,2,FALSE)</f>
        <v>80</v>
      </c>
      <c r="I63" s="6">
        <f t="shared" si="5"/>
        <v>1625.7499999999998</v>
      </c>
      <c r="J63" s="6">
        <f>(F63/(1+'Autres hypothèses'!$D$5))*('Autres hypothèses'!$D$5/(((1+'Autres hypothèses'!$D$5)^'Conduite principale d''eau'!H63-1)))</f>
        <v>1058.3600452098497</v>
      </c>
      <c r="K63" s="5">
        <v>1965</v>
      </c>
      <c r="L63" s="5">
        <f t="shared" si="0"/>
        <v>57</v>
      </c>
      <c r="M63" s="1">
        <f t="shared" si="1"/>
        <v>0.71250000000000002</v>
      </c>
      <c r="N63" s="3">
        <f t="shared" si="2"/>
        <v>92667.749999999985</v>
      </c>
      <c r="O63" s="3">
        <f t="shared" si="3"/>
        <v>37392.25</v>
      </c>
    </row>
    <row r="64" spans="1:15" x14ac:dyDescent="0.25">
      <c r="A64" s="4" t="s">
        <v>1032</v>
      </c>
      <c r="B64" s="5" t="s">
        <v>2324</v>
      </c>
      <c r="C64" s="5">
        <v>200</v>
      </c>
      <c r="D64" s="5">
        <v>84.399999999999991</v>
      </c>
      <c r="E64" s="7">
        <f>VLOOKUP(C64,'Taux unitaires'!B:C,2,FALSE)</f>
        <v>1450</v>
      </c>
      <c r="F64" s="6">
        <f t="shared" si="4"/>
        <v>122379.99999999999</v>
      </c>
      <c r="G64" s="5">
        <f>VLOOKUP(B64,'Durée de vie utile'!$C$8:$E$13,3,FALSE)</f>
        <v>100</v>
      </c>
      <c r="H64" s="5">
        <f>VLOOKUP(B64,'Durée de vie utile'!$C$8:$D$13,2,FALSE)</f>
        <v>70</v>
      </c>
      <c r="I64" s="6">
        <f t="shared" si="5"/>
        <v>1748.285714285714</v>
      </c>
      <c r="J64" s="6">
        <f>(F64/(1+'Autres hypothèses'!$D$5))*('Autres hypothèses'!$D$5/(((1+'Autres hypothèses'!$D$5)^'Conduite principale d''eau'!H64-1)))</f>
        <v>1203.5431625289011</v>
      </c>
      <c r="K64" s="5">
        <v>1966</v>
      </c>
      <c r="L64" s="5">
        <f t="shared" si="0"/>
        <v>56</v>
      </c>
      <c r="M64" s="1">
        <f t="shared" si="1"/>
        <v>0.8</v>
      </c>
      <c r="N64" s="3">
        <f t="shared" si="2"/>
        <v>97904</v>
      </c>
      <c r="O64" s="3">
        <f t="shared" si="3"/>
        <v>24475.999999999985</v>
      </c>
    </row>
    <row r="65" spans="1:15" x14ac:dyDescent="0.25">
      <c r="A65" s="4" t="s">
        <v>1033</v>
      </c>
      <c r="B65" s="5" t="s">
        <v>2325</v>
      </c>
      <c r="C65" s="5">
        <v>200</v>
      </c>
      <c r="D65" s="5">
        <v>34.4</v>
      </c>
      <c r="E65" s="7">
        <f>VLOOKUP(C65,'Taux unitaires'!B:C,2,FALSE)</f>
        <v>1450</v>
      </c>
      <c r="F65" s="6">
        <f t="shared" si="4"/>
        <v>49880</v>
      </c>
      <c r="G65" s="5">
        <f>VLOOKUP(B65,'Durée de vie utile'!$C$8:$E$13,3,FALSE)</f>
        <v>100</v>
      </c>
      <c r="H65" s="5">
        <f>VLOOKUP(B65,'Durée de vie utile'!$C$8:$D$13,2,FALSE)</f>
        <v>70</v>
      </c>
      <c r="I65" s="6">
        <f t="shared" si="5"/>
        <v>712.57142857142856</v>
      </c>
      <c r="J65" s="6">
        <f>(F65/(1+'Autres hypothèses'!$D$5))*('Autres hypothèses'!$D$5/(((1+'Autres hypothèses'!$D$5)^'Conduite principale d''eau'!H65-1)))</f>
        <v>490.54365866106878</v>
      </c>
      <c r="K65" s="5">
        <v>1967</v>
      </c>
      <c r="L65" s="5">
        <f t="shared" si="0"/>
        <v>55</v>
      </c>
      <c r="M65" s="1">
        <f t="shared" si="1"/>
        <v>0.7857142857142857</v>
      </c>
      <c r="N65" s="3">
        <f t="shared" si="2"/>
        <v>39191.428571428572</v>
      </c>
      <c r="O65" s="3">
        <f t="shared" si="3"/>
        <v>10688.571428571428</v>
      </c>
    </row>
    <row r="66" spans="1:15" x14ac:dyDescent="0.25">
      <c r="A66" s="4" t="s">
        <v>1034</v>
      </c>
      <c r="B66" s="5" t="s">
        <v>2326</v>
      </c>
      <c r="C66" s="5">
        <v>150</v>
      </c>
      <c r="D66" s="5">
        <v>50.800000000000004</v>
      </c>
      <c r="E66" s="7">
        <f>VLOOKUP(C66,'Taux unitaires'!B:C,2,FALSE)</f>
        <v>1400</v>
      </c>
      <c r="F66" s="6">
        <f t="shared" si="4"/>
        <v>71120</v>
      </c>
      <c r="G66" s="5">
        <f>VLOOKUP(B66,'Durée de vie utile'!$C$8:$E$13,3,FALSE)</f>
        <v>125</v>
      </c>
      <c r="H66" s="5">
        <f>VLOOKUP(B66,'Durée de vie utile'!$C$8:$D$13,2,FALSE)</f>
        <v>80</v>
      </c>
      <c r="I66" s="6">
        <f t="shared" si="5"/>
        <v>889</v>
      </c>
      <c r="J66" s="6">
        <f>(F66/(1+'Autres hypothèses'!$D$5))*('Autres hypothèses'!$D$5/(((1+'Autres hypothèses'!$D$5)^'Conduite principale d''eau'!H66-1)))</f>
        <v>578.73724754209218</v>
      </c>
      <c r="K66" s="5">
        <v>1968</v>
      </c>
      <c r="L66" s="5">
        <f t="shared" ref="L66:L129" si="6">2022-K66</f>
        <v>54</v>
      </c>
      <c r="M66" s="1">
        <f t="shared" ref="M66:M129" si="7">L66/H66</f>
        <v>0.67500000000000004</v>
      </c>
      <c r="N66" s="3">
        <f t="shared" ref="N66:N129" si="8">M66*F66</f>
        <v>48006</v>
      </c>
      <c r="O66" s="3">
        <f t="shared" ref="O66:O129" si="9">F66-N66</f>
        <v>23114</v>
      </c>
    </row>
    <row r="67" spans="1:15" x14ac:dyDescent="0.25">
      <c r="A67" s="4" t="s">
        <v>1035</v>
      </c>
      <c r="B67" s="5" t="s">
        <v>2327</v>
      </c>
      <c r="C67" s="5">
        <v>150</v>
      </c>
      <c r="D67" s="5">
        <v>23.3</v>
      </c>
      <c r="E67" s="7">
        <f>VLOOKUP(C67,'Taux unitaires'!B:C,2,FALSE)</f>
        <v>1400</v>
      </c>
      <c r="F67" s="6">
        <f t="shared" ref="F67:F130" si="10">D67*E67</f>
        <v>32620</v>
      </c>
      <c r="G67" s="5">
        <f>VLOOKUP(B67,'Durée de vie utile'!$C$8:$E$13,3,FALSE)</f>
        <v>100</v>
      </c>
      <c r="H67" s="5">
        <f>VLOOKUP(B67,'Durée de vie utile'!$C$8:$D$13,2,FALSE)</f>
        <v>70</v>
      </c>
      <c r="I67" s="6">
        <f t="shared" ref="I67:I130" si="11">F67/H67</f>
        <v>466</v>
      </c>
      <c r="J67" s="6">
        <f>(F67/(1+'Autres hypothèses'!$D$5))*('Autres hypothèses'!$D$5/(((1+'Autres hypothèses'!$D$5)^'Conduite principale d''eau'!H67-1)))</f>
        <v>320.80060436094755</v>
      </c>
      <c r="K67" s="5">
        <v>1968</v>
      </c>
      <c r="L67" s="5">
        <f t="shared" si="6"/>
        <v>54</v>
      </c>
      <c r="M67" s="1">
        <f t="shared" si="7"/>
        <v>0.77142857142857146</v>
      </c>
      <c r="N67" s="3">
        <f t="shared" si="8"/>
        <v>25164</v>
      </c>
      <c r="O67" s="3">
        <f t="shared" si="9"/>
        <v>7456</v>
      </c>
    </row>
    <row r="68" spans="1:15" x14ac:dyDescent="0.25">
      <c r="A68" s="4" t="s">
        <v>1036</v>
      </c>
      <c r="B68" s="5" t="s">
        <v>2328</v>
      </c>
      <c r="C68" s="5">
        <v>150</v>
      </c>
      <c r="D68" s="5">
        <v>66.899999999999991</v>
      </c>
      <c r="E68" s="7">
        <f>VLOOKUP(C68,'Taux unitaires'!B:C,2,FALSE)</f>
        <v>1400</v>
      </c>
      <c r="F68" s="6">
        <f t="shared" si="10"/>
        <v>93659.999999999985</v>
      </c>
      <c r="G68" s="5">
        <f>VLOOKUP(B68,'Durée de vie utile'!$C$8:$E$13,3,FALSE)</f>
        <v>125</v>
      </c>
      <c r="H68" s="5">
        <f>VLOOKUP(B68,'Durée de vie utile'!$C$8:$D$13,2,FALSE)</f>
        <v>80</v>
      </c>
      <c r="I68" s="6">
        <f t="shared" si="11"/>
        <v>1170.7499999999998</v>
      </c>
      <c r="J68" s="6">
        <f>(F68/(1+'Autres hypothèses'!$D$5))*('Autres hypothèses'!$D$5/(((1+'Autres hypothèses'!$D$5)^'Conduite principale d''eau'!H68-1)))</f>
        <v>762.15594213712518</v>
      </c>
      <c r="K68" s="5">
        <v>1968</v>
      </c>
      <c r="L68" s="5">
        <f t="shared" si="6"/>
        <v>54</v>
      </c>
      <c r="M68" s="1">
        <f t="shared" si="7"/>
        <v>0.67500000000000004</v>
      </c>
      <c r="N68" s="3">
        <f t="shared" si="8"/>
        <v>63220.499999999993</v>
      </c>
      <c r="O68" s="3">
        <f t="shared" si="9"/>
        <v>30439.499999999993</v>
      </c>
    </row>
    <row r="69" spans="1:15" x14ac:dyDescent="0.25">
      <c r="A69" s="4" t="s">
        <v>1037</v>
      </c>
      <c r="B69" s="5" t="s">
        <v>2329</v>
      </c>
      <c r="C69" s="5">
        <v>150</v>
      </c>
      <c r="D69" s="5">
        <v>8.6999999999999993</v>
      </c>
      <c r="E69" s="7">
        <f>VLOOKUP(C69,'Taux unitaires'!B:C,2,FALSE)</f>
        <v>1400</v>
      </c>
      <c r="F69" s="6">
        <f t="shared" si="10"/>
        <v>12179.999999999998</v>
      </c>
      <c r="G69" s="5">
        <f>VLOOKUP(B69,'Durée de vie utile'!$C$8:$E$13,3,FALSE)</f>
        <v>125</v>
      </c>
      <c r="H69" s="5">
        <f>VLOOKUP(B69,'Durée de vie utile'!$C$8:$D$13,2,FALSE)</f>
        <v>80</v>
      </c>
      <c r="I69" s="6">
        <f t="shared" si="11"/>
        <v>152.24999999999997</v>
      </c>
      <c r="J69" s="6">
        <f>(F69/(1+'Autres hypothèses'!$D$5))*('Autres hypothèses'!$D$5/(((1+'Autres hypothèses'!$D$5)^'Conduite principale d''eau'!H69-1)))</f>
        <v>99.114449874334667</v>
      </c>
      <c r="K69" s="5">
        <v>1968</v>
      </c>
      <c r="L69" s="5">
        <f t="shared" si="6"/>
        <v>54</v>
      </c>
      <c r="M69" s="1">
        <f t="shared" si="7"/>
        <v>0.67500000000000004</v>
      </c>
      <c r="N69" s="3">
        <f t="shared" si="8"/>
        <v>8221.5</v>
      </c>
      <c r="O69" s="3">
        <f t="shared" si="9"/>
        <v>3958.4999999999982</v>
      </c>
    </row>
    <row r="70" spans="1:15" x14ac:dyDescent="0.25">
      <c r="A70" s="4" t="s">
        <v>1038</v>
      </c>
      <c r="B70" s="5" t="s">
        <v>2330</v>
      </c>
      <c r="C70" s="5">
        <v>150</v>
      </c>
      <c r="D70" s="5">
        <v>97.899999999999991</v>
      </c>
      <c r="E70" s="7">
        <f>VLOOKUP(C70,'Taux unitaires'!B:C,2,FALSE)</f>
        <v>1400</v>
      </c>
      <c r="F70" s="6">
        <f t="shared" si="10"/>
        <v>137060</v>
      </c>
      <c r="G70" s="5">
        <f>VLOOKUP(B70,'Durée de vie utile'!$C$8:$E$13,3,FALSE)</f>
        <v>100</v>
      </c>
      <c r="H70" s="5">
        <f>VLOOKUP(B70,'Durée de vie utile'!$C$8:$D$13,2,FALSE)</f>
        <v>70</v>
      </c>
      <c r="I70" s="6">
        <f t="shared" si="11"/>
        <v>1958</v>
      </c>
      <c r="J70" s="6">
        <f>(F70/(1+'Autres hypothèses'!$D$5))*('Autres hypothèses'!$D$5/(((1+'Autres hypothèses'!$D$5)^'Conduite principale d''eau'!H70-1)))</f>
        <v>1347.9132689672431</v>
      </c>
      <c r="K70" s="5">
        <v>1968</v>
      </c>
      <c r="L70" s="5">
        <f t="shared" si="6"/>
        <v>54</v>
      </c>
      <c r="M70" s="1">
        <f t="shared" si="7"/>
        <v>0.77142857142857146</v>
      </c>
      <c r="N70" s="3">
        <f t="shared" si="8"/>
        <v>105732</v>
      </c>
      <c r="O70" s="3">
        <f t="shared" si="9"/>
        <v>31328</v>
      </c>
    </row>
    <row r="71" spans="1:15" x14ac:dyDescent="0.25">
      <c r="A71" s="4" t="s">
        <v>1039</v>
      </c>
      <c r="B71" s="5" t="s">
        <v>2331</v>
      </c>
      <c r="C71" s="5">
        <v>200</v>
      </c>
      <c r="D71" s="5">
        <v>80.699999999999989</v>
      </c>
      <c r="E71" s="7">
        <f>VLOOKUP(C71,'Taux unitaires'!B:C,2,FALSE)</f>
        <v>1450</v>
      </c>
      <c r="F71" s="6">
        <f t="shared" si="10"/>
        <v>117014.99999999999</v>
      </c>
      <c r="G71" s="5">
        <f>VLOOKUP(B71,'Durée de vie utile'!$C$8:$E$13,3,FALSE)</f>
        <v>125</v>
      </c>
      <c r="H71" s="5">
        <f>VLOOKUP(B71,'Durée de vie utile'!$C$8:$D$13,2,FALSE)</f>
        <v>80</v>
      </c>
      <c r="I71" s="6">
        <f t="shared" si="11"/>
        <v>1462.6874999999998</v>
      </c>
      <c r="J71" s="6">
        <f>(F71/(1+'Autres hypothèses'!$D$5))*('Autres hypothèses'!$D$5/(((1+'Autres hypothèses'!$D$5)^'Conduite principale d''eau'!H71-1)))</f>
        <v>952.20667914985802</v>
      </c>
      <c r="K71" s="5">
        <v>1968</v>
      </c>
      <c r="L71" s="5">
        <f t="shared" si="6"/>
        <v>54</v>
      </c>
      <c r="M71" s="1">
        <f t="shared" si="7"/>
        <v>0.67500000000000004</v>
      </c>
      <c r="N71" s="3">
        <f t="shared" si="8"/>
        <v>78985.125</v>
      </c>
      <c r="O71" s="3">
        <f t="shared" si="9"/>
        <v>38029.874999999985</v>
      </c>
    </row>
    <row r="72" spans="1:15" x14ac:dyDescent="0.25">
      <c r="A72" s="4" t="s">
        <v>1040</v>
      </c>
      <c r="B72" s="5" t="s">
        <v>2332</v>
      </c>
      <c r="C72" s="5">
        <v>200</v>
      </c>
      <c r="D72" s="5">
        <v>56.300000000000004</v>
      </c>
      <c r="E72" s="7">
        <f>VLOOKUP(C72,'Taux unitaires'!B:C,2,FALSE)</f>
        <v>1450</v>
      </c>
      <c r="F72" s="6">
        <f t="shared" si="10"/>
        <v>81635</v>
      </c>
      <c r="G72" s="5">
        <f>VLOOKUP(B72,'Durée de vie utile'!$C$8:$E$13,3,FALSE)</f>
        <v>125</v>
      </c>
      <c r="H72" s="5">
        <f>VLOOKUP(B72,'Durée de vie utile'!$C$8:$D$13,2,FALSE)</f>
        <v>80</v>
      </c>
      <c r="I72" s="6">
        <f t="shared" si="11"/>
        <v>1020.4375</v>
      </c>
      <c r="J72" s="6">
        <f>(F72/(1+'Autres hypothèses'!$D$5))*('Autres hypothèses'!$D$5/(((1+'Autres hypothèses'!$D$5)^'Conduite principale d''eau'!H72-1)))</f>
        <v>664.30280094345744</v>
      </c>
      <c r="K72" s="5">
        <v>1968</v>
      </c>
      <c r="L72" s="5">
        <f t="shared" si="6"/>
        <v>54</v>
      </c>
      <c r="M72" s="1">
        <f t="shared" si="7"/>
        <v>0.67500000000000004</v>
      </c>
      <c r="N72" s="3">
        <f t="shared" si="8"/>
        <v>55103.625</v>
      </c>
      <c r="O72" s="3">
        <f t="shared" si="9"/>
        <v>26531.375</v>
      </c>
    </row>
    <row r="73" spans="1:15" x14ac:dyDescent="0.25">
      <c r="A73" s="4" t="s">
        <v>1041</v>
      </c>
      <c r="B73" s="5" t="s">
        <v>2333</v>
      </c>
      <c r="C73" s="5">
        <v>200</v>
      </c>
      <c r="D73" s="5">
        <v>94.199999999999989</v>
      </c>
      <c r="E73" s="7">
        <f>VLOOKUP(C73,'Taux unitaires'!B:C,2,FALSE)</f>
        <v>1450</v>
      </c>
      <c r="F73" s="6">
        <f t="shared" si="10"/>
        <v>136589.99999999997</v>
      </c>
      <c r="G73" s="5">
        <f>VLOOKUP(B73,'Durée de vie utile'!$C$8:$E$13,3,FALSE)</f>
        <v>100</v>
      </c>
      <c r="H73" s="5">
        <f>VLOOKUP(B73,'Durée de vie utile'!$C$8:$D$13,2,FALSE)</f>
        <v>70</v>
      </c>
      <c r="I73" s="6">
        <f t="shared" si="11"/>
        <v>1951.2857142857138</v>
      </c>
      <c r="J73" s="6">
        <f>(F73/(1+'Autres hypothèses'!$D$5))*('Autres hypothèses'!$D$5/(((1+'Autres hypothèses'!$D$5)^'Conduite principale d''eau'!H73-1)))</f>
        <v>1343.2910652869959</v>
      </c>
      <c r="K73" s="5">
        <v>1968</v>
      </c>
      <c r="L73" s="5">
        <f t="shared" si="6"/>
        <v>54</v>
      </c>
      <c r="M73" s="1">
        <f t="shared" si="7"/>
        <v>0.77142857142857146</v>
      </c>
      <c r="N73" s="3">
        <f t="shared" si="8"/>
        <v>105369.42857142855</v>
      </c>
      <c r="O73" s="3">
        <f t="shared" si="9"/>
        <v>31220.57142857142</v>
      </c>
    </row>
    <row r="74" spans="1:15" x14ac:dyDescent="0.25">
      <c r="A74" s="4" t="s">
        <v>1042</v>
      </c>
      <c r="B74" s="5" t="s">
        <v>2334</v>
      </c>
      <c r="C74" s="5">
        <v>150</v>
      </c>
      <c r="D74" s="5">
        <v>92.1</v>
      </c>
      <c r="E74" s="7">
        <f>VLOOKUP(C74,'Taux unitaires'!B:C,2,FALSE)</f>
        <v>1400</v>
      </c>
      <c r="F74" s="6">
        <f t="shared" si="10"/>
        <v>128939.99999999999</v>
      </c>
      <c r="G74" s="5">
        <f>VLOOKUP(B74,'Durée de vie utile'!$C$8:$E$13,3,FALSE)</f>
        <v>125</v>
      </c>
      <c r="H74" s="5">
        <f>VLOOKUP(B74,'Durée de vie utile'!$C$8:$D$13,2,FALSE)</f>
        <v>80</v>
      </c>
      <c r="I74" s="6">
        <f t="shared" si="11"/>
        <v>1611.7499999999998</v>
      </c>
      <c r="J74" s="6">
        <f>(F74/(1+'Autres hypothèses'!$D$5))*('Autres hypothèses'!$D$5/(((1+'Autres hypothèses'!$D$5)^'Conduite principale d''eau'!H74-1)))</f>
        <v>1049.2460728076119</v>
      </c>
      <c r="K74" s="5">
        <v>1968</v>
      </c>
      <c r="L74" s="5">
        <f t="shared" si="6"/>
        <v>54</v>
      </c>
      <c r="M74" s="1">
        <f t="shared" si="7"/>
        <v>0.67500000000000004</v>
      </c>
      <c r="N74" s="3">
        <f t="shared" si="8"/>
        <v>87034.5</v>
      </c>
      <c r="O74" s="3">
        <f t="shared" si="9"/>
        <v>41905.499999999985</v>
      </c>
    </row>
    <row r="75" spans="1:15" x14ac:dyDescent="0.25">
      <c r="A75" s="4" t="s">
        <v>1043</v>
      </c>
      <c r="B75" s="5" t="s">
        <v>2335</v>
      </c>
      <c r="C75" s="5">
        <v>200</v>
      </c>
      <c r="D75" s="5">
        <v>41.800000000000004</v>
      </c>
      <c r="E75" s="7">
        <f>VLOOKUP(C75,'Taux unitaires'!B:C,2,FALSE)</f>
        <v>1450</v>
      </c>
      <c r="F75" s="6">
        <f t="shared" si="10"/>
        <v>60610.000000000007</v>
      </c>
      <c r="G75" s="5">
        <f>VLOOKUP(B75,'Durée de vie utile'!$C$8:$E$13,3,FALSE)</f>
        <v>125</v>
      </c>
      <c r="H75" s="5">
        <f>VLOOKUP(B75,'Durée de vie utile'!$C$8:$D$13,2,FALSE)</f>
        <v>80</v>
      </c>
      <c r="I75" s="6">
        <f t="shared" si="11"/>
        <v>757.62500000000011</v>
      </c>
      <c r="J75" s="6">
        <f>(F75/(1+'Autres hypothèses'!$D$5))*('Autres hypothèses'!$D$5/(((1+'Autres hypothèses'!$D$5)^'Conduite principale d''eau'!H75-1)))</f>
        <v>493.2123815175226</v>
      </c>
      <c r="K75" s="5">
        <v>1968</v>
      </c>
      <c r="L75" s="5">
        <f t="shared" si="6"/>
        <v>54</v>
      </c>
      <c r="M75" s="1">
        <f t="shared" si="7"/>
        <v>0.67500000000000004</v>
      </c>
      <c r="N75" s="3">
        <f t="shared" si="8"/>
        <v>40911.750000000007</v>
      </c>
      <c r="O75" s="3">
        <f t="shared" si="9"/>
        <v>19698.25</v>
      </c>
    </row>
    <row r="76" spans="1:15" x14ac:dyDescent="0.25">
      <c r="A76" s="4" t="s">
        <v>1044</v>
      </c>
      <c r="B76" s="5" t="s">
        <v>2336</v>
      </c>
      <c r="C76" s="5">
        <v>150</v>
      </c>
      <c r="D76" s="5">
        <v>79</v>
      </c>
      <c r="E76" s="7">
        <f>VLOOKUP(C76,'Taux unitaires'!B:C,2,FALSE)</f>
        <v>1400</v>
      </c>
      <c r="F76" s="6">
        <f t="shared" si="10"/>
        <v>110600</v>
      </c>
      <c r="G76" s="5">
        <f>VLOOKUP(B76,'Durée de vie utile'!$C$8:$E$13,3,FALSE)</f>
        <v>100</v>
      </c>
      <c r="H76" s="5">
        <f>VLOOKUP(B76,'Durée de vie utile'!$C$8:$D$13,2,FALSE)</f>
        <v>70</v>
      </c>
      <c r="I76" s="6">
        <f t="shared" si="11"/>
        <v>1580</v>
      </c>
      <c r="J76" s="6">
        <f>(F76/(1+'Autres hypothèses'!$D$5))*('Autres hypothèses'!$D$5/(((1+'Autres hypothèses'!$D$5)^'Conduite principale d''eau'!H76-1)))</f>
        <v>1087.6930362452727</v>
      </c>
      <c r="K76" s="5">
        <v>1969</v>
      </c>
      <c r="L76" s="5">
        <f t="shared" si="6"/>
        <v>53</v>
      </c>
      <c r="M76" s="1">
        <f t="shared" si="7"/>
        <v>0.75714285714285712</v>
      </c>
      <c r="N76" s="3">
        <f t="shared" si="8"/>
        <v>83740</v>
      </c>
      <c r="O76" s="3">
        <f t="shared" si="9"/>
        <v>26860</v>
      </c>
    </row>
    <row r="77" spans="1:15" x14ac:dyDescent="0.25">
      <c r="A77" s="4" t="s">
        <v>1045</v>
      </c>
      <c r="B77" s="5" t="s">
        <v>2337</v>
      </c>
      <c r="C77" s="5">
        <v>150</v>
      </c>
      <c r="D77" s="5">
        <v>15.799999999999999</v>
      </c>
      <c r="E77" s="7">
        <f>VLOOKUP(C77,'Taux unitaires'!B:C,2,FALSE)</f>
        <v>1400</v>
      </c>
      <c r="F77" s="6">
        <f t="shared" si="10"/>
        <v>22120</v>
      </c>
      <c r="G77" s="5">
        <f>VLOOKUP(B77,'Durée de vie utile'!$C$8:$E$13,3,FALSE)</f>
        <v>100</v>
      </c>
      <c r="H77" s="5">
        <f>VLOOKUP(B77,'Durée de vie utile'!$C$8:$D$13,2,FALSE)</f>
        <v>70</v>
      </c>
      <c r="I77" s="6">
        <f t="shared" si="11"/>
        <v>316</v>
      </c>
      <c r="J77" s="6">
        <f>(F77/(1+'Autres hypothèses'!$D$5))*('Autres hypothèses'!$D$5/(((1+'Autres hypothèses'!$D$5)^'Conduite principale d''eau'!H77-1)))</f>
        <v>217.53860724905454</v>
      </c>
      <c r="K77" s="5">
        <v>1970</v>
      </c>
      <c r="L77" s="5">
        <f t="shared" si="6"/>
        <v>52</v>
      </c>
      <c r="M77" s="1">
        <f t="shared" si="7"/>
        <v>0.74285714285714288</v>
      </c>
      <c r="N77" s="3">
        <f t="shared" si="8"/>
        <v>16432</v>
      </c>
      <c r="O77" s="3">
        <f t="shared" si="9"/>
        <v>5688</v>
      </c>
    </row>
    <row r="78" spans="1:15" x14ac:dyDescent="0.25">
      <c r="A78" s="4" t="s">
        <v>1046</v>
      </c>
      <c r="B78" s="5" t="s">
        <v>2338</v>
      </c>
      <c r="C78" s="5">
        <v>150</v>
      </c>
      <c r="D78" s="5">
        <v>21.3</v>
      </c>
      <c r="E78" s="7">
        <f>VLOOKUP(C78,'Taux unitaires'!B:C,2,FALSE)</f>
        <v>1400</v>
      </c>
      <c r="F78" s="6">
        <f t="shared" si="10"/>
        <v>29820</v>
      </c>
      <c r="G78" s="5">
        <f>VLOOKUP(B78,'Durée de vie utile'!$C$8:$E$13,3,FALSE)</f>
        <v>100</v>
      </c>
      <c r="H78" s="5">
        <f>VLOOKUP(B78,'Durée de vie utile'!$C$8:$D$13,2,FALSE)</f>
        <v>70</v>
      </c>
      <c r="I78" s="6">
        <f t="shared" si="11"/>
        <v>426</v>
      </c>
      <c r="J78" s="6">
        <f>(F78/(1+'Autres hypothèses'!$D$5))*('Autres hypothèses'!$D$5/(((1+'Autres hypothèses'!$D$5)^'Conduite principale d''eau'!H78-1)))</f>
        <v>293.26407179777607</v>
      </c>
      <c r="K78" s="5">
        <v>1971</v>
      </c>
      <c r="L78" s="5">
        <f t="shared" si="6"/>
        <v>51</v>
      </c>
      <c r="M78" s="1">
        <f t="shared" si="7"/>
        <v>0.72857142857142854</v>
      </c>
      <c r="N78" s="3">
        <f t="shared" si="8"/>
        <v>21726</v>
      </c>
      <c r="O78" s="3">
        <f t="shared" si="9"/>
        <v>8094</v>
      </c>
    </row>
    <row r="79" spans="1:15" x14ac:dyDescent="0.25">
      <c r="A79" s="4" t="s">
        <v>1047</v>
      </c>
      <c r="B79" s="5" t="s">
        <v>2339</v>
      </c>
      <c r="C79" s="5">
        <v>200</v>
      </c>
      <c r="D79" s="5">
        <v>69.099999999999994</v>
      </c>
      <c r="E79" s="7">
        <f>VLOOKUP(C79,'Taux unitaires'!B:C,2,FALSE)</f>
        <v>1450</v>
      </c>
      <c r="F79" s="6">
        <f t="shared" si="10"/>
        <v>100194.99999999999</v>
      </c>
      <c r="G79" s="5">
        <f>VLOOKUP(B79,'Durée de vie utile'!$C$8:$E$13,3,FALSE)</f>
        <v>100</v>
      </c>
      <c r="H79" s="5">
        <f>VLOOKUP(B79,'Durée de vie utile'!$C$8:$D$13,2,FALSE)</f>
        <v>70</v>
      </c>
      <c r="I79" s="6">
        <f t="shared" si="11"/>
        <v>1431.3571428571427</v>
      </c>
      <c r="J79" s="6">
        <f>(F79/(1+'Autres hypothèses'!$D$5))*('Autres hypothèses'!$D$5/(((1+'Autres hypothèses'!$D$5)^'Conduite principale d''eau'!H79-1)))</f>
        <v>985.36531434534436</v>
      </c>
      <c r="K79" s="5">
        <v>1972</v>
      </c>
      <c r="L79" s="5">
        <f t="shared" si="6"/>
        <v>50</v>
      </c>
      <c r="M79" s="1">
        <f t="shared" si="7"/>
        <v>0.7142857142857143</v>
      </c>
      <c r="N79" s="3">
        <f t="shared" si="8"/>
        <v>71567.85714285713</v>
      </c>
      <c r="O79" s="3">
        <f t="shared" si="9"/>
        <v>28627.142857142855</v>
      </c>
    </row>
    <row r="80" spans="1:15" x14ac:dyDescent="0.25">
      <c r="A80" s="4" t="s">
        <v>1048</v>
      </c>
      <c r="B80" s="5" t="s">
        <v>2340</v>
      </c>
      <c r="C80" s="5">
        <v>150</v>
      </c>
      <c r="D80" s="5">
        <v>42.5</v>
      </c>
      <c r="E80" s="7">
        <f>VLOOKUP(C80,'Taux unitaires'!B:C,2,FALSE)</f>
        <v>1400</v>
      </c>
      <c r="F80" s="6">
        <f t="shared" si="10"/>
        <v>59500</v>
      </c>
      <c r="G80" s="5">
        <f>VLOOKUP(B80,'Durée de vie utile'!$C$8:$E$13,3,FALSE)</f>
        <v>100</v>
      </c>
      <c r="H80" s="5">
        <f>VLOOKUP(B80,'Durée de vie utile'!$C$8:$D$13,2,FALSE)</f>
        <v>70</v>
      </c>
      <c r="I80" s="6">
        <f t="shared" si="11"/>
        <v>850</v>
      </c>
      <c r="J80" s="6">
        <f>(F80/(1+'Autres hypothèses'!$D$5))*('Autres hypothèses'!$D$5/(((1+'Autres hypothèses'!$D$5)^'Conduite principale d''eau'!H80-1)))</f>
        <v>585.15131696739354</v>
      </c>
      <c r="K80" s="5">
        <v>1973</v>
      </c>
      <c r="L80" s="5">
        <f t="shared" si="6"/>
        <v>49</v>
      </c>
      <c r="M80" s="1">
        <f t="shared" si="7"/>
        <v>0.7</v>
      </c>
      <c r="N80" s="3">
        <f t="shared" si="8"/>
        <v>41650</v>
      </c>
      <c r="O80" s="3">
        <f t="shared" si="9"/>
        <v>17850</v>
      </c>
    </row>
    <row r="81" spans="1:15" x14ac:dyDescent="0.25">
      <c r="A81" s="4" t="s">
        <v>1049</v>
      </c>
      <c r="B81" s="5" t="s">
        <v>2341</v>
      </c>
      <c r="C81" s="5">
        <v>200</v>
      </c>
      <c r="D81" s="5">
        <v>32.700000000000003</v>
      </c>
      <c r="E81" s="7">
        <f>VLOOKUP(C81,'Taux unitaires'!B:C,2,FALSE)</f>
        <v>1450</v>
      </c>
      <c r="F81" s="6">
        <f t="shared" si="10"/>
        <v>47415.000000000007</v>
      </c>
      <c r="G81" s="5">
        <f>VLOOKUP(B81,'Durée de vie utile'!$C$8:$E$13,3,FALSE)</f>
        <v>125</v>
      </c>
      <c r="H81" s="5">
        <f>VLOOKUP(B81,'Durée de vie utile'!$C$8:$D$13,2,FALSE)</f>
        <v>80</v>
      </c>
      <c r="I81" s="6">
        <f t="shared" si="11"/>
        <v>592.68750000000011</v>
      </c>
      <c r="J81" s="6">
        <f>(F81/(1+'Autres hypothèses'!$D$5))*('Autres hypothèses'!$D$5/(((1+'Autres hypothèses'!$D$5)^'Conduite principale d''eau'!H81-1)))</f>
        <v>385.83839415366009</v>
      </c>
      <c r="K81" s="5">
        <v>1973</v>
      </c>
      <c r="L81" s="5">
        <f t="shared" si="6"/>
        <v>49</v>
      </c>
      <c r="M81" s="1">
        <f t="shared" si="7"/>
        <v>0.61250000000000004</v>
      </c>
      <c r="N81" s="3">
        <f t="shared" si="8"/>
        <v>29041.687500000007</v>
      </c>
      <c r="O81" s="3">
        <f t="shared" si="9"/>
        <v>18373.3125</v>
      </c>
    </row>
    <row r="82" spans="1:15" x14ac:dyDescent="0.25">
      <c r="A82" s="4" t="s">
        <v>1050</v>
      </c>
      <c r="B82" s="5" t="s">
        <v>2342</v>
      </c>
      <c r="C82" s="5">
        <v>150</v>
      </c>
      <c r="D82" s="5">
        <v>41</v>
      </c>
      <c r="E82" s="7">
        <f>VLOOKUP(C82,'Taux unitaires'!B:C,2,FALSE)</f>
        <v>1400</v>
      </c>
      <c r="F82" s="6">
        <f t="shared" si="10"/>
        <v>57400</v>
      </c>
      <c r="G82" s="5">
        <f>VLOOKUP(B82,'Durée de vie utile'!$C$8:$E$13,3,FALSE)</f>
        <v>125</v>
      </c>
      <c r="H82" s="5">
        <f>VLOOKUP(B82,'Durée de vie utile'!$C$8:$D$13,2,FALSE)</f>
        <v>80</v>
      </c>
      <c r="I82" s="6">
        <f t="shared" si="11"/>
        <v>717.5</v>
      </c>
      <c r="J82" s="6">
        <f>(F82/(1+'Autres hypothèses'!$D$5))*('Autres hypothèses'!$D$5/(((1+'Autres hypothèses'!$D$5)^'Conduite principale d''eau'!H82-1)))</f>
        <v>467.09108561468071</v>
      </c>
      <c r="K82" s="5">
        <v>1973</v>
      </c>
      <c r="L82" s="5">
        <f t="shared" si="6"/>
        <v>49</v>
      </c>
      <c r="M82" s="1">
        <f t="shared" si="7"/>
        <v>0.61250000000000004</v>
      </c>
      <c r="N82" s="3">
        <f t="shared" si="8"/>
        <v>35157.5</v>
      </c>
      <c r="O82" s="3">
        <f t="shared" si="9"/>
        <v>22242.5</v>
      </c>
    </row>
    <row r="83" spans="1:15" x14ac:dyDescent="0.25">
      <c r="A83" s="4" t="s">
        <v>1051</v>
      </c>
      <c r="B83" s="5" t="s">
        <v>2343</v>
      </c>
      <c r="C83" s="5">
        <v>150</v>
      </c>
      <c r="D83" s="5">
        <v>74.199999999999989</v>
      </c>
      <c r="E83" s="7">
        <f>VLOOKUP(C83,'Taux unitaires'!B:C,2,FALSE)</f>
        <v>1400</v>
      </c>
      <c r="F83" s="6">
        <f t="shared" si="10"/>
        <v>103879.99999999999</v>
      </c>
      <c r="G83" s="5">
        <f>VLOOKUP(B83,'Durée de vie utile'!$C$8:$E$13,3,FALSE)</f>
        <v>100</v>
      </c>
      <c r="H83" s="5">
        <f>VLOOKUP(B83,'Durée de vie utile'!$C$8:$D$13,2,FALSE)</f>
        <v>70</v>
      </c>
      <c r="I83" s="6">
        <f t="shared" si="11"/>
        <v>1483.9999999999998</v>
      </c>
      <c r="J83" s="6">
        <f>(F83/(1+'Autres hypothèses'!$D$5))*('Autres hypothèses'!$D$5/(((1+'Autres hypothèses'!$D$5)^'Conduite principale d''eau'!H83-1)))</f>
        <v>1021.6053580936612</v>
      </c>
      <c r="K83" s="5">
        <v>1973</v>
      </c>
      <c r="L83" s="5">
        <f t="shared" si="6"/>
        <v>49</v>
      </c>
      <c r="M83" s="1">
        <f t="shared" si="7"/>
        <v>0.7</v>
      </c>
      <c r="N83" s="3">
        <f t="shared" si="8"/>
        <v>72715.999999999985</v>
      </c>
      <c r="O83" s="3">
        <f t="shared" si="9"/>
        <v>31164</v>
      </c>
    </row>
    <row r="84" spans="1:15" x14ac:dyDescent="0.25">
      <c r="A84" s="4" t="s">
        <v>1052</v>
      </c>
      <c r="B84" s="5" t="s">
        <v>2344</v>
      </c>
      <c r="C84" s="5">
        <v>150</v>
      </c>
      <c r="D84" s="5">
        <v>73.599999999999994</v>
      </c>
      <c r="E84" s="7">
        <f>VLOOKUP(C84,'Taux unitaires'!B:C,2,FALSE)</f>
        <v>1400</v>
      </c>
      <c r="F84" s="6">
        <f t="shared" si="10"/>
        <v>103039.99999999999</v>
      </c>
      <c r="G84" s="5">
        <f>VLOOKUP(B84,'Durée de vie utile'!$C$8:$E$13,3,FALSE)</f>
        <v>100</v>
      </c>
      <c r="H84" s="5">
        <f>VLOOKUP(B84,'Durée de vie utile'!$C$8:$D$13,2,FALSE)</f>
        <v>70</v>
      </c>
      <c r="I84" s="6">
        <f t="shared" si="11"/>
        <v>1471.9999999999998</v>
      </c>
      <c r="J84" s="6">
        <f>(F84/(1+'Autres hypothèses'!$D$5))*('Autres hypothèses'!$D$5/(((1+'Autres hypothèses'!$D$5)^'Conduite principale d''eau'!H84-1)))</f>
        <v>1013.3443983247097</v>
      </c>
      <c r="K84" s="5">
        <v>1973</v>
      </c>
      <c r="L84" s="5">
        <f t="shared" si="6"/>
        <v>49</v>
      </c>
      <c r="M84" s="1">
        <f t="shared" si="7"/>
        <v>0.7</v>
      </c>
      <c r="N84" s="3">
        <f t="shared" si="8"/>
        <v>72127.999999999985</v>
      </c>
      <c r="O84" s="3">
        <f t="shared" si="9"/>
        <v>30912</v>
      </c>
    </row>
    <row r="85" spans="1:15" x14ac:dyDescent="0.25">
      <c r="A85" s="4" t="s">
        <v>1053</v>
      </c>
      <c r="B85" s="5" t="s">
        <v>2345</v>
      </c>
      <c r="C85" s="5">
        <v>200</v>
      </c>
      <c r="D85" s="5">
        <v>71.599999999999994</v>
      </c>
      <c r="E85" s="7">
        <f>VLOOKUP(C85,'Taux unitaires'!B:C,2,FALSE)</f>
        <v>1450</v>
      </c>
      <c r="F85" s="6">
        <f t="shared" si="10"/>
        <v>103819.99999999999</v>
      </c>
      <c r="G85" s="5">
        <f>VLOOKUP(B85,'Durée de vie utile'!$C$8:$E$13,3,FALSE)</f>
        <v>125</v>
      </c>
      <c r="H85" s="5">
        <f>VLOOKUP(B85,'Durée de vie utile'!$C$8:$D$13,2,FALSE)</f>
        <v>80</v>
      </c>
      <c r="I85" s="6">
        <f t="shared" si="11"/>
        <v>1297.7499999999998</v>
      </c>
      <c r="J85" s="6">
        <f>(F85/(1+'Autres hypothèses'!$D$5))*('Autres hypothèses'!$D$5/(((1+'Autres hypothèses'!$D$5)^'Conduite principale d''eau'!H85-1)))</f>
        <v>844.83269178599551</v>
      </c>
      <c r="K85" s="5">
        <v>1973</v>
      </c>
      <c r="L85" s="5">
        <f t="shared" si="6"/>
        <v>49</v>
      </c>
      <c r="M85" s="1">
        <f t="shared" si="7"/>
        <v>0.61250000000000004</v>
      </c>
      <c r="N85" s="3">
        <f t="shared" si="8"/>
        <v>63589.749999999993</v>
      </c>
      <c r="O85" s="3">
        <f t="shared" si="9"/>
        <v>40230.249999999993</v>
      </c>
    </row>
    <row r="86" spans="1:15" x14ac:dyDescent="0.25">
      <c r="A86" s="4" t="s">
        <v>1054</v>
      </c>
      <c r="B86" s="5" t="s">
        <v>2346</v>
      </c>
      <c r="C86" s="5">
        <v>150</v>
      </c>
      <c r="D86" s="5">
        <v>6</v>
      </c>
      <c r="E86" s="7">
        <f>VLOOKUP(C86,'Taux unitaires'!B:C,2,FALSE)</f>
        <v>1400</v>
      </c>
      <c r="F86" s="6">
        <f t="shared" si="10"/>
        <v>8400</v>
      </c>
      <c r="G86" s="5">
        <f>VLOOKUP(B86,'Durée de vie utile'!$C$8:$E$13,3,FALSE)</f>
        <v>125</v>
      </c>
      <c r="H86" s="5">
        <f>VLOOKUP(B86,'Durée de vie utile'!$C$8:$D$13,2,FALSE)</f>
        <v>80</v>
      </c>
      <c r="I86" s="6">
        <f t="shared" si="11"/>
        <v>105</v>
      </c>
      <c r="J86" s="6">
        <f>(F86/(1+'Autres hypothèses'!$D$5))*('Autres hypothèses'!$D$5/(((1+'Autres hypothèses'!$D$5)^'Conduite principale d''eau'!H86-1)))</f>
        <v>68.354793016782537</v>
      </c>
      <c r="K86" s="5">
        <v>1973</v>
      </c>
      <c r="L86" s="5">
        <f t="shared" si="6"/>
        <v>49</v>
      </c>
      <c r="M86" s="1">
        <f t="shared" si="7"/>
        <v>0.61250000000000004</v>
      </c>
      <c r="N86" s="3">
        <f t="shared" si="8"/>
        <v>5145</v>
      </c>
      <c r="O86" s="3">
        <f t="shared" si="9"/>
        <v>3255</v>
      </c>
    </row>
    <row r="87" spans="1:15" x14ac:dyDescent="0.25">
      <c r="A87" s="4" t="s">
        <v>1055</v>
      </c>
      <c r="B87" s="5" t="s">
        <v>2347</v>
      </c>
      <c r="C87" s="5">
        <v>150</v>
      </c>
      <c r="D87" s="5">
        <v>9.6999999999999993</v>
      </c>
      <c r="E87" s="7">
        <f>VLOOKUP(C87,'Taux unitaires'!B:C,2,FALSE)</f>
        <v>1400</v>
      </c>
      <c r="F87" s="6">
        <f t="shared" si="10"/>
        <v>13579.999999999998</v>
      </c>
      <c r="G87" s="5">
        <f>VLOOKUP(B87,'Durée de vie utile'!$C$8:$E$13,3,FALSE)</f>
        <v>125</v>
      </c>
      <c r="H87" s="5">
        <f>VLOOKUP(B87,'Durée de vie utile'!$C$8:$D$13,2,FALSE)</f>
        <v>80</v>
      </c>
      <c r="I87" s="6">
        <f t="shared" si="11"/>
        <v>169.74999999999997</v>
      </c>
      <c r="J87" s="6">
        <f>(F87/(1+'Autres hypothèses'!$D$5))*('Autres hypothèses'!$D$5/(((1+'Autres hypothèses'!$D$5)^'Conduite principale d''eau'!H87-1)))</f>
        <v>110.50691537713176</v>
      </c>
      <c r="K87" s="5">
        <v>1973</v>
      </c>
      <c r="L87" s="5">
        <f t="shared" si="6"/>
        <v>49</v>
      </c>
      <c r="M87" s="1">
        <f t="shared" si="7"/>
        <v>0.61250000000000004</v>
      </c>
      <c r="N87" s="3">
        <f t="shared" si="8"/>
        <v>8317.75</v>
      </c>
      <c r="O87" s="3">
        <f t="shared" si="9"/>
        <v>5262.2499999999982</v>
      </c>
    </row>
    <row r="88" spans="1:15" x14ac:dyDescent="0.25">
      <c r="A88" s="4" t="s">
        <v>1056</v>
      </c>
      <c r="B88" s="5" t="s">
        <v>2348</v>
      </c>
      <c r="C88" s="5">
        <v>200</v>
      </c>
      <c r="D88" s="5">
        <v>61.800000000000004</v>
      </c>
      <c r="E88" s="7">
        <f>VLOOKUP(C88,'Taux unitaires'!B:C,2,FALSE)</f>
        <v>1450</v>
      </c>
      <c r="F88" s="6">
        <f t="shared" si="10"/>
        <v>89610</v>
      </c>
      <c r="G88" s="5">
        <f>VLOOKUP(B88,'Durée de vie utile'!$C$8:$E$13,3,FALSE)</f>
        <v>100</v>
      </c>
      <c r="H88" s="5">
        <f>VLOOKUP(B88,'Durée de vie utile'!$C$8:$D$13,2,FALSE)</f>
        <v>70</v>
      </c>
      <c r="I88" s="6">
        <f t="shared" si="11"/>
        <v>1280.1428571428571</v>
      </c>
      <c r="J88" s="6">
        <f>(F88/(1+'Autres hypothèses'!$D$5))*('Autres hypothèses'!$D$5/(((1+'Autres hypothèses'!$D$5)^'Conduite principale d''eau'!H88-1)))</f>
        <v>881.26738678064089</v>
      </c>
      <c r="K88" s="5">
        <v>1974</v>
      </c>
      <c r="L88" s="5">
        <f t="shared" si="6"/>
        <v>48</v>
      </c>
      <c r="M88" s="1">
        <f t="shared" si="7"/>
        <v>0.68571428571428572</v>
      </c>
      <c r="N88" s="3">
        <f t="shared" si="8"/>
        <v>61446.857142857145</v>
      </c>
      <c r="O88" s="3">
        <f t="shared" si="9"/>
        <v>28163.142857142855</v>
      </c>
    </row>
    <row r="89" spans="1:15" x14ac:dyDescent="0.25">
      <c r="A89" s="4" t="s">
        <v>1057</v>
      </c>
      <c r="B89" s="5" t="s">
        <v>2349</v>
      </c>
      <c r="C89" s="5">
        <v>200</v>
      </c>
      <c r="D89" s="5">
        <v>33.200000000000003</v>
      </c>
      <c r="E89" s="7">
        <f>VLOOKUP(C89,'Taux unitaires'!B:C,2,FALSE)</f>
        <v>1450</v>
      </c>
      <c r="F89" s="6">
        <f t="shared" si="10"/>
        <v>48140.000000000007</v>
      </c>
      <c r="G89" s="5">
        <f>VLOOKUP(B89,'Durée de vie utile'!$C$8:$E$13,3,FALSE)</f>
        <v>100</v>
      </c>
      <c r="H89" s="5">
        <f>VLOOKUP(B89,'Durée de vie utile'!$C$8:$D$13,2,FALSE)</f>
        <v>70</v>
      </c>
      <c r="I89" s="6">
        <f t="shared" si="11"/>
        <v>687.71428571428578</v>
      </c>
      <c r="J89" s="6">
        <f>(F89/(1+'Autres hypothèses'!$D$5))*('Autres hypothèses'!$D$5/(((1+'Autres hypothèses'!$D$5)^'Conduite principale d''eau'!H89-1)))</f>
        <v>473.43167056824086</v>
      </c>
      <c r="K89" s="5">
        <v>1975</v>
      </c>
      <c r="L89" s="5">
        <f t="shared" si="6"/>
        <v>47</v>
      </c>
      <c r="M89" s="1">
        <f t="shared" si="7"/>
        <v>0.67142857142857137</v>
      </c>
      <c r="N89" s="3">
        <f t="shared" si="8"/>
        <v>32322.571428571431</v>
      </c>
      <c r="O89" s="3">
        <f t="shared" si="9"/>
        <v>15817.428571428576</v>
      </c>
    </row>
    <row r="90" spans="1:15" x14ac:dyDescent="0.25">
      <c r="A90" s="4" t="s">
        <v>1058</v>
      </c>
      <c r="B90" s="5" t="s">
        <v>2350</v>
      </c>
      <c r="C90" s="5">
        <v>150</v>
      </c>
      <c r="D90" s="5">
        <v>81.8</v>
      </c>
      <c r="E90" s="7">
        <f>VLOOKUP(C90,'Taux unitaires'!B:C,2,FALSE)</f>
        <v>1400</v>
      </c>
      <c r="F90" s="6">
        <f t="shared" si="10"/>
        <v>114520</v>
      </c>
      <c r="G90" s="5">
        <f>VLOOKUP(B90,'Durée de vie utile'!$C$8:$E$13,3,FALSE)</f>
        <v>125</v>
      </c>
      <c r="H90" s="5">
        <f>VLOOKUP(B90,'Durée de vie utile'!$C$8:$D$13,2,FALSE)</f>
        <v>80</v>
      </c>
      <c r="I90" s="6">
        <f t="shared" si="11"/>
        <v>1431.5</v>
      </c>
      <c r="J90" s="6">
        <f>(F90/(1+'Autres hypothèses'!$D$5))*('Autres hypothèses'!$D$5/(((1+'Autres hypothèses'!$D$5)^'Conduite principale d''eau'!H90-1)))</f>
        <v>931.90367812880197</v>
      </c>
      <c r="K90" s="5">
        <v>1976</v>
      </c>
      <c r="L90" s="5">
        <f t="shared" si="6"/>
        <v>46</v>
      </c>
      <c r="M90" s="1">
        <f t="shared" si="7"/>
        <v>0.57499999999999996</v>
      </c>
      <c r="N90" s="3">
        <f t="shared" si="8"/>
        <v>65849</v>
      </c>
      <c r="O90" s="3">
        <f t="shared" si="9"/>
        <v>48671</v>
      </c>
    </row>
    <row r="91" spans="1:15" x14ac:dyDescent="0.25">
      <c r="A91" s="4" t="s">
        <v>1059</v>
      </c>
      <c r="B91" s="5" t="s">
        <v>2351</v>
      </c>
      <c r="C91" s="5">
        <v>300</v>
      </c>
      <c r="D91" s="5">
        <v>41.1</v>
      </c>
      <c r="E91" s="7">
        <f>VLOOKUP(C91,'Taux unitaires'!B:C,2,FALSE)</f>
        <v>1600</v>
      </c>
      <c r="F91" s="6">
        <f t="shared" si="10"/>
        <v>65760</v>
      </c>
      <c r="G91" s="5">
        <f>VLOOKUP(B91,'Durée de vie utile'!$C$8:$E$13,3,FALSE)</f>
        <v>100</v>
      </c>
      <c r="H91" s="5">
        <f>VLOOKUP(B91,'Durée de vie utile'!$C$8:$D$13,2,FALSE)</f>
        <v>70</v>
      </c>
      <c r="I91" s="6">
        <f t="shared" si="11"/>
        <v>939.42857142857144</v>
      </c>
      <c r="J91" s="6">
        <f>(F91/(1+'Autres hypothèses'!$D$5))*('Autres hypothèses'!$D$5/(((1+'Autres hypothèses'!$D$5)^'Conduite principale d''eau'!H91-1)))</f>
        <v>646.71513619791256</v>
      </c>
      <c r="K91" s="5">
        <v>1976</v>
      </c>
      <c r="L91" s="5">
        <f t="shared" si="6"/>
        <v>46</v>
      </c>
      <c r="M91" s="1">
        <f t="shared" si="7"/>
        <v>0.65714285714285714</v>
      </c>
      <c r="N91" s="3">
        <f t="shared" si="8"/>
        <v>43213.714285714283</v>
      </c>
      <c r="O91" s="3">
        <f t="shared" si="9"/>
        <v>22546.285714285717</v>
      </c>
    </row>
    <row r="92" spans="1:15" x14ac:dyDescent="0.25">
      <c r="A92" s="4" t="s">
        <v>1060</v>
      </c>
      <c r="B92" s="5" t="s">
        <v>2352</v>
      </c>
      <c r="C92" s="5">
        <v>150</v>
      </c>
      <c r="D92" s="5">
        <v>54.300000000000004</v>
      </c>
      <c r="E92" s="7">
        <f>VLOOKUP(C92,'Taux unitaires'!B:C,2,FALSE)</f>
        <v>1400</v>
      </c>
      <c r="F92" s="6">
        <f t="shared" si="10"/>
        <v>76020</v>
      </c>
      <c r="G92" s="5">
        <f>VLOOKUP(B92,'Durée de vie utile'!$C$8:$E$13,3,FALSE)</f>
        <v>125</v>
      </c>
      <c r="H92" s="5">
        <f>VLOOKUP(B92,'Durée de vie utile'!$C$8:$D$13,2,FALSE)</f>
        <v>80</v>
      </c>
      <c r="I92" s="6">
        <f t="shared" si="11"/>
        <v>950.25</v>
      </c>
      <c r="J92" s="6">
        <f>(F92/(1+'Autres hypothèses'!$D$5))*('Autres hypothèses'!$D$5/(((1+'Autres hypothèses'!$D$5)^'Conduite principale d''eau'!H92-1)))</f>
        <v>618.61087680188189</v>
      </c>
      <c r="K92" s="5">
        <v>1976</v>
      </c>
      <c r="L92" s="5">
        <f t="shared" si="6"/>
        <v>46</v>
      </c>
      <c r="M92" s="1">
        <f t="shared" si="7"/>
        <v>0.57499999999999996</v>
      </c>
      <c r="N92" s="3">
        <f t="shared" si="8"/>
        <v>43711.5</v>
      </c>
      <c r="O92" s="3">
        <f t="shared" si="9"/>
        <v>32308.5</v>
      </c>
    </row>
    <row r="93" spans="1:15" x14ac:dyDescent="0.25">
      <c r="A93" s="4" t="s">
        <v>1061</v>
      </c>
      <c r="B93" s="5" t="s">
        <v>2353</v>
      </c>
      <c r="C93" s="5">
        <v>150</v>
      </c>
      <c r="D93" s="5">
        <v>37.9</v>
      </c>
      <c r="E93" s="7">
        <f>VLOOKUP(C93,'Taux unitaires'!B:C,2,FALSE)</f>
        <v>1400</v>
      </c>
      <c r="F93" s="6">
        <f t="shared" si="10"/>
        <v>53060</v>
      </c>
      <c r="G93" s="5">
        <f>VLOOKUP(B93,'Durée de vie utile'!$C$8:$E$13,3,FALSE)</f>
        <v>125</v>
      </c>
      <c r="H93" s="5">
        <f>VLOOKUP(B93,'Durée de vie utile'!$C$8:$D$13,2,FALSE)</f>
        <v>80</v>
      </c>
      <c r="I93" s="6">
        <f t="shared" si="11"/>
        <v>663.25</v>
      </c>
      <c r="J93" s="6">
        <f>(F93/(1+'Autres hypothèses'!$D$5))*('Autres hypothèses'!$D$5/(((1+'Autres hypothèses'!$D$5)^'Conduite principale d''eau'!H93-1)))</f>
        <v>431.77444255600972</v>
      </c>
      <c r="K93" s="5">
        <v>1976</v>
      </c>
      <c r="L93" s="5">
        <f t="shared" si="6"/>
        <v>46</v>
      </c>
      <c r="M93" s="1">
        <f t="shared" si="7"/>
        <v>0.57499999999999996</v>
      </c>
      <c r="N93" s="3">
        <f t="shared" si="8"/>
        <v>30509.499999999996</v>
      </c>
      <c r="O93" s="3">
        <f t="shared" si="9"/>
        <v>22550.500000000004</v>
      </c>
    </row>
    <row r="94" spans="1:15" x14ac:dyDescent="0.25">
      <c r="A94" s="4" t="s">
        <v>1062</v>
      </c>
      <c r="B94" s="5" t="s">
        <v>2354</v>
      </c>
      <c r="C94" s="5">
        <v>150</v>
      </c>
      <c r="D94" s="5">
        <v>95</v>
      </c>
      <c r="E94" s="7">
        <f>VLOOKUP(C94,'Taux unitaires'!B:C,2,FALSE)</f>
        <v>1400</v>
      </c>
      <c r="F94" s="6">
        <f t="shared" si="10"/>
        <v>133000</v>
      </c>
      <c r="G94" s="5">
        <f>VLOOKUP(B94,'Durée de vie utile'!$C$8:$E$13,3,FALSE)</f>
        <v>125</v>
      </c>
      <c r="H94" s="5">
        <f>VLOOKUP(B94,'Durée de vie utile'!$C$8:$D$13,2,FALSE)</f>
        <v>80</v>
      </c>
      <c r="I94" s="6">
        <f t="shared" si="11"/>
        <v>1662.5</v>
      </c>
      <c r="J94" s="6">
        <f>(F94/(1+'Autres hypothèses'!$D$5))*('Autres hypothèses'!$D$5/(((1+'Autres hypothèses'!$D$5)^'Conduite principale d''eau'!H94-1)))</f>
        <v>1082.2842227657236</v>
      </c>
      <c r="K94" s="5">
        <v>1976</v>
      </c>
      <c r="L94" s="5">
        <f t="shared" si="6"/>
        <v>46</v>
      </c>
      <c r="M94" s="1">
        <f t="shared" si="7"/>
        <v>0.57499999999999996</v>
      </c>
      <c r="N94" s="3">
        <f t="shared" si="8"/>
        <v>76475</v>
      </c>
      <c r="O94" s="3">
        <f t="shared" si="9"/>
        <v>56525</v>
      </c>
    </row>
    <row r="95" spans="1:15" x14ac:dyDescent="0.25">
      <c r="A95" s="4" t="s">
        <v>1063</v>
      </c>
      <c r="B95" s="5" t="s">
        <v>2355</v>
      </c>
      <c r="C95" s="5">
        <v>150</v>
      </c>
      <c r="D95" s="5">
        <v>55.5</v>
      </c>
      <c r="E95" s="7">
        <f>VLOOKUP(C95,'Taux unitaires'!B:C,2,FALSE)</f>
        <v>1400</v>
      </c>
      <c r="F95" s="6">
        <f t="shared" si="10"/>
        <v>77700</v>
      </c>
      <c r="G95" s="5">
        <f>VLOOKUP(B95,'Durée de vie utile'!$C$8:$E$13,3,FALSE)</f>
        <v>125</v>
      </c>
      <c r="H95" s="5">
        <f>VLOOKUP(B95,'Durée de vie utile'!$C$8:$D$13,2,FALSE)</f>
        <v>80</v>
      </c>
      <c r="I95" s="6">
        <f t="shared" si="11"/>
        <v>971.25</v>
      </c>
      <c r="J95" s="6">
        <f>(F95/(1+'Autres hypothèses'!$D$5))*('Autres hypothèses'!$D$5/(((1+'Autres hypothèses'!$D$5)^'Conduite principale d''eau'!H95-1)))</f>
        <v>632.28183540523844</v>
      </c>
      <c r="K95" s="5">
        <v>1976</v>
      </c>
      <c r="L95" s="5">
        <f t="shared" si="6"/>
        <v>46</v>
      </c>
      <c r="M95" s="1">
        <f t="shared" si="7"/>
        <v>0.57499999999999996</v>
      </c>
      <c r="N95" s="3">
        <f t="shared" si="8"/>
        <v>44677.5</v>
      </c>
      <c r="O95" s="3">
        <f t="shared" si="9"/>
        <v>33022.5</v>
      </c>
    </row>
    <row r="96" spans="1:15" x14ac:dyDescent="0.25">
      <c r="A96" s="4" t="s">
        <v>1064</v>
      </c>
      <c r="B96" s="5" t="s">
        <v>2356</v>
      </c>
      <c r="C96" s="5">
        <v>150</v>
      </c>
      <c r="D96" s="5">
        <v>20.900000000000002</v>
      </c>
      <c r="E96" s="7">
        <f>VLOOKUP(C96,'Taux unitaires'!B:C,2,FALSE)</f>
        <v>1400</v>
      </c>
      <c r="F96" s="6">
        <f t="shared" si="10"/>
        <v>29260.000000000004</v>
      </c>
      <c r="G96" s="5">
        <f>VLOOKUP(B96,'Durée de vie utile'!$C$8:$E$13,3,FALSE)</f>
        <v>100</v>
      </c>
      <c r="H96" s="5">
        <f>VLOOKUP(B96,'Durée de vie utile'!$C$8:$D$13,2,FALSE)</f>
        <v>70</v>
      </c>
      <c r="I96" s="6">
        <f t="shared" si="11"/>
        <v>418.00000000000006</v>
      </c>
      <c r="J96" s="6">
        <f>(F96/(1+'Autres hypothèses'!$D$5))*('Autres hypothèses'!$D$5/(((1+'Autres hypothèses'!$D$5)^'Conduite principale d''eau'!H96-1)))</f>
        <v>287.7567652851418</v>
      </c>
      <c r="K96" s="5">
        <v>1976</v>
      </c>
      <c r="L96" s="5">
        <f t="shared" si="6"/>
        <v>46</v>
      </c>
      <c r="M96" s="1">
        <f t="shared" si="7"/>
        <v>0.65714285714285714</v>
      </c>
      <c r="N96" s="3">
        <f t="shared" si="8"/>
        <v>19228.000000000004</v>
      </c>
      <c r="O96" s="3">
        <f t="shared" si="9"/>
        <v>10032</v>
      </c>
    </row>
    <row r="97" spans="1:15" x14ac:dyDescent="0.25">
      <c r="A97" s="4" t="s">
        <v>1065</v>
      </c>
      <c r="B97" s="5" t="s">
        <v>2357</v>
      </c>
      <c r="C97" s="5">
        <v>150</v>
      </c>
      <c r="D97" s="5">
        <v>69.699999999999989</v>
      </c>
      <c r="E97" s="7">
        <f>VLOOKUP(C97,'Taux unitaires'!B:C,2,FALSE)</f>
        <v>1400</v>
      </c>
      <c r="F97" s="6">
        <f t="shared" si="10"/>
        <v>97579.999999999985</v>
      </c>
      <c r="G97" s="5">
        <f>VLOOKUP(B97,'Durée de vie utile'!$C$8:$E$13,3,FALSE)</f>
        <v>125</v>
      </c>
      <c r="H97" s="5">
        <f>VLOOKUP(B97,'Durée de vie utile'!$C$8:$D$13,2,FALSE)</f>
        <v>80</v>
      </c>
      <c r="I97" s="6">
        <f t="shared" si="11"/>
        <v>1219.7499999999998</v>
      </c>
      <c r="J97" s="6">
        <f>(F97/(1+'Autres hypothèses'!$D$5))*('Autres hypothèses'!$D$5/(((1+'Autres hypothèses'!$D$5)^'Conduite principale d''eau'!H97-1)))</f>
        <v>794.05484554495706</v>
      </c>
      <c r="K97" s="5">
        <v>1976</v>
      </c>
      <c r="L97" s="5">
        <f t="shared" si="6"/>
        <v>46</v>
      </c>
      <c r="M97" s="1">
        <f t="shared" si="7"/>
        <v>0.57499999999999996</v>
      </c>
      <c r="N97" s="3">
        <f t="shared" si="8"/>
        <v>56108.499999999985</v>
      </c>
      <c r="O97" s="3">
        <f t="shared" si="9"/>
        <v>41471.5</v>
      </c>
    </row>
    <row r="98" spans="1:15" x14ac:dyDescent="0.25">
      <c r="A98" s="4" t="s">
        <v>1066</v>
      </c>
      <c r="B98" s="5" t="s">
        <v>2358</v>
      </c>
      <c r="C98" s="5">
        <v>150</v>
      </c>
      <c r="D98" s="5">
        <v>82</v>
      </c>
      <c r="E98" s="7">
        <f>VLOOKUP(C98,'Taux unitaires'!B:C,2,FALSE)</f>
        <v>1400</v>
      </c>
      <c r="F98" s="6">
        <f t="shared" si="10"/>
        <v>114800</v>
      </c>
      <c r="G98" s="5">
        <f>VLOOKUP(B98,'Durée de vie utile'!$C$8:$E$13,3,FALSE)</f>
        <v>125</v>
      </c>
      <c r="H98" s="5">
        <f>VLOOKUP(B98,'Durée de vie utile'!$C$8:$D$13,2,FALSE)</f>
        <v>80</v>
      </c>
      <c r="I98" s="6">
        <f t="shared" si="11"/>
        <v>1435</v>
      </c>
      <c r="J98" s="6">
        <f>(F98/(1+'Autres hypothèses'!$D$5))*('Autres hypothèses'!$D$5/(((1+'Autres hypothèses'!$D$5)^'Conduite principale d''eau'!H98-1)))</f>
        <v>934.18217122936142</v>
      </c>
      <c r="K98" s="5">
        <v>1981</v>
      </c>
      <c r="L98" s="5">
        <f t="shared" si="6"/>
        <v>41</v>
      </c>
      <c r="M98" s="1">
        <f t="shared" si="7"/>
        <v>0.51249999999999996</v>
      </c>
      <c r="N98" s="3">
        <f t="shared" si="8"/>
        <v>58834.999999999993</v>
      </c>
      <c r="O98" s="3">
        <f t="shared" si="9"/>
        <v>55965.000000000007</v>
      </c>
    </row>
    <row r="99" spans="1:15" x14ac:dyDescent="0.25">
      <c r="A99" s="4" t="s">
        <v>1067</v>
      </c>
      <c r="B99" s="5" t="s">
        <v>2359</v>
      </c>
      <c r="C99" s="5">
        <v>200</v>
      </c>
      <c r="D99" s="5">
        <v>68.099999999999994</v>
      </c>
      <c r="E99" s="7">
        <f>VLOOKUP(C99,'Taux unitaires'!B:C,2,FALSE)</f>
        <v>1450</v>
      </c>
      <c r="F99" s="6">
        <f t="shared" si="10"/>
        <v>98744.999999999985</v>
      </c>
      <c r="G99" s="5">
        <f>VLOOKUP(B99,'Durée de vie utile'!$C$8:$E$13,3,FALSE)</f>
        <v>125</v>
      </c>
      <c r="H99" s="5">
        <f>VLOOKUP(B99,'Durée de vie utile'!$C$8:$D$13,2,FALSE)</f>
        <v>80</v>
      </c>
      <c r="I99" s="6">
        <f t="shared" si="11"/>
        <v>1234.3124999999998</v>
      </c>
      <c r="J99" s="6">
        <f>(F99/(1+'Autres hypothèses'!$D$5))*('Autres hypothèses'!$D$5/(((1+'Autres hypothèses'!$D$5)^'Conduite principale d''eau'!H99-1)))</f>
        <v>803.53500433835598</v>
      </c>
      <c r="K99" s="5">
        <v>1981</v>
      </c>
      <c r="L99" s="5">
        <f t="shared" si="6"/>
        <v>41</v>
      </c>
      <c r="M99" s="1">
        <f t="shared" si="7"/>
        <v>0.51249999999999996</v>
      </c>
      <c r="N99" s="3">
        <f t="shared" si="8"/>
        <v>50606.812499999985</v>
      </c>
      <c r="O99" s="3">
        <f t="shared" si="9"/>
        <v>48138.1875</v>
      </c>
    </row>
    <row r="100" spans="1:15" x14ac:dyDescent="0.25">
      <c r="A100" s="4" t="s">
        <v>1068</v>
      </c>
      <c r="B100" s="5" t="s">
        <v>2360</v>
      </c>
      <c r="C100" s="5">
        <v>200</v>
      </c>
      <c r="D100" s="5">
        <v>51.1</v>
      </c>
      <c r="E100" s="7">
        <f>VLOOKUP(C100,'Taux unitaires'!B:C,2,FALSE)</f>
        <v>1450</v>
      </c>
      <c r="F100" s="6">
        <f t="shared" si="10"/>
        <v>74095</v>
      </c>
      <c r="G100" s="5">
        <f>VLOOKUP(B100,'Durée de vie utile'!$C$8:$E$13,3,FALSE)</f>
        <v>125</v>
      </c>
      <c r="H100" s="5">
        <f>VLOOKUP(B100,'Durée de vie utile'!$C$8:$D$13,2,FALSE)</f>
        <v>80</v>
      </c>
      <c r="I100" s="6">
        <f t="shared" si="11"/>
        <v>926.1875</v>
      </c>
      <c r="J100" s="6">
        <f>(F100/(1+'Autres hypothèses'!$D$5))*('Autres hypothèses'!$D$5/(((1+'Autres hypothèses'!$D$5)^'Conduite principale d''eau'!H100-1)))</f>
        <v>602.94623673553599</v>
      </c>
      <c r="K100" s="5">
        <v>1981</v>
      </c>
      <c r="L100" s="5">
        <f t="shared" si="6"/>
        <v>41</v>
      </c>
      <c r="M100" s="1">
        <f t="shared" si="7"/>
        <v>0.51249999999999996</v>
      </c>
      <c r="N100" s="3">
        <f t="shared" si="8"/>
        <v>37973.6875</v>
      </c>
      <c r="O100" s="3">
        <f t="shared" si="9"/>
        <v>36121.3125</v>
      </c>
    </row>
    <row r="101" spans="1:15" x14ac:dyDescent="0.25">
      <c r="A101" s="4" t="s">
        <v>1069</v>
      </c>
      <c r="B101" s="5" t="s">
        <v>2361</v>
      </c>
      <c r="C101" s="5">
        <v>200</v>
      </c>
      <c r="D101" s="5">
        <v>0.7</v>
      </c>
      <c r="E101" s="7">
        <f>VLOOKUP(C101,'Taux unitaires'!B:C,2,FALSE)</f>
        <v>1450</v>
      </c>
      <c r="F101" s="6">
        <f t="shared" si="10"/>
        <v>1014.9999999999999</v>
      </c>
      <c r="G101" s="5">
        <f>VLOOKUP(B101,'Durée de vie utile'!$C$8:$E$13,3,FALSE)</f>
        <v>125</v>
      </c>
      <c r="H101" s="5">
        <f>VLOOKUP(B101,'Durée de vie utile'!$C$8:$D$13,2,FALSE)</f>
        <v>80</v>
      </c>
      <c r="I101" s="6">
        <f t="shared" si="11"/>
        <v>12.687499999999998</v>
      </c>
      <c r="J101" s="6">
        <f>(F101/(1+'Autres hypothèses'!$D$5))*('Autres hypothèses'!$D$5/(((1+'Autres hypothèses'!$D$5)^'Conduite principale d''eau'!H101-1)))</f>
        <v>8.2595374895278901</v>
      </c>
      <c r="K101" s="5">
        <v>1981</v>
      </c>
      <c r="L101" s="5">
        <f t="shared" si="6"/>
        <v>41</v>
      </c>
      <c r="M101" s="1">
        <f t="shared" si="7"/>
        <v>0.51249999999999996</v>
      </c>
      <c r="N101" s="3">
        <f t="shared" si="8"/>
        <v>520.18749999999989</v>
      </c>
      <c r="O101" s="3">
        <f t="shared" si="9"/>
        <v>494.8125</v>
      </c>
    </row>
    <row r="102" spans="1:15" x14ac:dyDescent="0.25">
      <c r="A102" s="4" t="s">
        <v>1070</v>
      </c>
      <c r="B102" s="5" t="s">
        <v>2362</v>
      </c>
      <c r="C102" s="5">
        <v>200</v>
      </c>
      <c r="D102" s="5">
        <v>88</v>
      </c>
      <c r="E102" s="7">
        <f>VLOOKUP(C102,'Taux unitaires'!B:C,2,FALSE)</f>
        <v>1450</v>
      </c>
      <c r="F102" s="6">
        <f t="shared" si="10"/>
        <v>127600</v>
      </c>
      <c r="G102" s="5">
        <f>VLOOKUP(B102,'Durée de vie utile'!$C$8:$E$13,3,FALSE)</f>
        <v>125</v>
      </c>
      <c r="H102" s="5">
        <f>VLOOKUP(B102,'Durée de vie utile'!$C$8:$D$13,2,FALSE)</f>
        <v>80</v>
      </c>
      <c r="I102" s="6">
        <f t="shared" si="11"/>
        <v>1595</v>
      </c>
      <c r="J102" s="6">
        <f>(F102/(1+'Autres hypothèses'!$D$5))*('Autres hypothèses'!$D$5/(((1+'Autres hypothèses'!$D$5)^'Conduite principale d''eau'!H102-1)))</f>
        <v>1038.3418558263634</v>
      </c>
      <c r="K102" s="5">
        <v>1982</v>
      </c>
      <c r="L102" s="5">
        <f t="shared" si="6"/>
        <v>40</v>
      </c>
      <c r="M102" s="1">
        <f t="shared" si="7"/>
        <v>0.5</v>
      </c>
      <c r="N102" s="3">
        <f t="shared" si="8"/>
        <v>63800</v>
      </c>
      <c r="O102" s="3">
        <f t="shared" si="9"/>
        <v>63800</v>
      </c>
    </row>
    <row r="103" spans="1:15" x14ac:dyDescent="0.25">
      <c r="A103" s="4" t="s">
        <v>1071</v>
      </c>
      <c r="B103" s="5" t="s">
        <v>2363</v>
      </c>
      <c r="C103" s="5">
        <v>150</v>
      </c>
      <c r="D103" s="5">
        <v>21.8</v>
      </c>
      <c r="E103" s="7">
        <f>VLOOKUP(C103,'Taux unitaires'!B:C,2,FALSE)</f>
        <v>1400</v>
      </c>
      <c r="F103" s="6">
        <f t="shared" si="10"/>
        <v>30520</v>
      </c>
      <c r="G103" s="5">
        <f>VLOOKUP(B103,'Durée de vie utile'!$C$8:$E$13,3,FALSE)</f>
        <v>100</v>
      </c>
      <c r="H103" s="5">
        <f>VLOOKUP(B103,'Durée de vie utile'!$C$8:$D$13,2,FALSE)</f>
        <v>70</v>
      </c>
      <c r="I103" s="6">
        <f t="shared" si="11"/>
        <v>436</v>
      </c>
      <c r="J103" s="6">
        <f>(F103/(1+'Autres hypothèses'!$D$5))*('Autres hypothèses'!$D$5/(((1+'Autres hypothèses'!$D$5)^'Conduite principale d''eau'!H103-1)))</f>
        <v>300.14820493856894</v>
      </c>
      <c r="K103" s="5">
        <v>1982</v>
      </c>
      <c r="L103" s="5">
        <f t="shared" si="6"/>
        <v>40</v>
      </c>
      <c r="M103" s="1">
        <f t="shared" si="7"/>
        <v>0.5714285714285714</v>
      </c>
      <c r="N103" s="3">
        <f t="shared" si="8"/>
        <v>17440</v>
      </c>
      <c r="O103" s="3">
        <f t="shared" si="9"/>
        <v>13080</v>
      </c>
    </row>
    <row r="104" spans="1:15" x14ac:dyDescent="0.25">
      <c r="A104" s="4" t="s">
        <v>1072</v>
      </c>
      <c r="B104" s="5" t="s">
        <v>2364</v>
      </c>
      <c r="C104" s="5">
        <v>150</v>
      </c>
      <c r="D104" s="5">
        <v>69.699999999999989</v>
      </c>
      <c r="E104" s="7">
        <f>VLOOKUP(C104,'Taux unitaires'!B:C,2,FALSE)</f>
        <v>1400</v>
      </c>
      <c r="F104" s="6">
        <f t="shared" si="10"/>
        <v>97579.999999999985</v>
      </c>
      <c r="G104" s="5">
        <f>VLOOKUP(B104,'Durée de vie utile'!$C$8:$E$13,3,FALSE)</f>
        <v>100</v>
      </c>
      <c r="H104" s="5">
        <f>VLOOKUP(B104,'Durée de vie utile'!$C$8:$D$13,2,FALSE)</f>
        <v>70</v>
      </c>
      <c r="I104" s="6">
        <f t="shared" si="11"/>
        <v>1393.9999999999998</v>
      </c>
      <c r="J104" s="6">
        <f>(F104/(1+'Autres hypothèses'!$D$5))*('Autres hypothèses'!$D$5/(((1+'Autres hypothèses'!$D$5)^'Conduite principale d''eau'!H104-1)))</f>
        <v>959.64815982652522</v>
      </c>
      <c r="K104" s="5">
        <v>1982</v>
      </c>
      <c r="L104" s="5">
        <f t="shared" si="6"/>
        <v>40</v>
      </c>
      <c r="M104" s="1">
        <f t="shared" si="7"/>
        <v>0.5714285714285714</v>
      </c>
      <c r="N104" s="3">
        <f t="shared" si="8"/>
        <v>55759.999999999985</v>
      </c>
      <c r="O104" s="3">
        <f t="shared" si="9"/>
        <v>41820</v>
      </c>
    </row>
    <row r="105" spans="1:15" x14ac:dyDescent="0.25">
      <c r="A105" s="4" t="s">
        <v>1073</v>
      </c>
      <c r="B105" s="5" t="s">
        <v>2365</v>
      </c>
      <c r="C105" s="5">
        <v>150</v>
      </c>
      <c r="D105" s="5">
        <v>9.7999999999999989</v>
      </c>
      <c r="E105" s="7">
        <f>VLOOKUP(C105,'Taux unitaires'!B:C,2,FALSE)</f>
        <v>1400</v>
      </c>
      <c r="F105" s="6">
        <f t="shared" si="10"/>
        <v>13719.999999999998</v>
      </c>
      <c r="G105" s="5">
        <f>VLOOKUP(B105,'Durée de vie utile'!$C$8:$E$13,3,FALSE)</f>
        <v>125</v>
      </c>
      <c r="H105" s="5">
        <f>VLOOKUP(B105,'Durée de vie utile'!$C$8:$D$13,2,FALSE)</f>
        <v>80</v>
      </c>
      <c r="I105" s="6">
        <f t="shared" si="11"/>
        <v>171.49999999999997</v>
      </c>
      <c r="J105" s="6">
        <f>(F105/(1+'Autres hypothèses'!$D$5))*('Autres hypothèses'!$D$5/(((1+'Autres hypothèses'!$D$5)^'Conduite principale d''eau'!H105-1)))</f>
        <v>111.64616192741147</v>
      </c>
      <c r="K105" s="5">
        <v>1982</v>
      </c>
      <c r="L105" s="5">
        <f t="shared" si="6"/>
        <v>40</v>
      </c>
      <c r="M105" s="1">
        <f t="shared" si="7"/>
        <v>0.5</v>
      </c>
      <c r="N105" s="3">
        <f t="shared" si="8"/>
        <v>6859.9999999999991</v>
      </c>
      <c r="O105" s="3">
        <f t="shared" si="9"/>
        <v>6859.9999999999991</v>
      </c>
    </row>
    <row r="106" spans="1:15" x14ac:dyDescent="0.25">
      <c r="A106" s="4" t="s">
        <v>1074</v>
      </c>
      <c r="B106" s="5" t="s">
        <v>2366</v>
      </c>
      <c r="C106" s="5">
        <v>400</v>
      </c>
      <c r="D106" s="5">
        <v>68.699999999999989</v>
      </c>
      <c r="E106" s="7">
        <f>VLOOKUP(C106,'Taux unitaires'!B:C,2,FALSE)</f>
        <v>1650</v>
      </c>
      <c r="F106" s="6">
        <f t="shared" si="10"/>
        <v>113354.99999999999</v>
      </c>
      <c r="G106" s="5">
        <f>VLOOKUP(B106,'Durée de vie utile'!$C$8:$E$13,3,FALSE)</f>
        <v>125</v>
      </c>
      <c r="H106" s="5">
        <f>VLOOKUP(B106,'Durée de vie utile'!$C$8:$D$13,2,FALSE)</f>
        <v>80</v>
      </c>
      <c r="I106" s="6">
        <f t="shared" si="11"/>
        <v>1416.9374999999998</v>
      </c>
      <c r="J106" s="6">
        <f>(F106/(1+'Autres hypothèses'!$D$5))*('Autres hypothèses'!$D$5/(((1+'Autres hypothèses'!$D$5)^'Conduite principale d''eau'!H106-1)))</f>
        <v>922.42351933540272</v>
      </c>
      <c r="K106" s="5">
        <v>1982</v>
      </c>
      <c r="L106" s="5">
        <f t="shared" si="6"/>
        <v>40</v>
      </c>
      <c r="M106" s="1">
        <f t="shared" si="7"/>
        <v>0.5</v>
      </c>
      <c r="N106" s="3">
        <f t="shared" si="8"/>
        <v>56677.499999999993</v>
      </c>
      <c r="O106" s="3">
        <f t="shared" si="9"/>
        <v>56677.499999999993</v>
      </c>
    </row>
    <row r="107" spans="1:15" x14ac:dyDescent="0.25">
      <c r="A107" s="4" t="s">
        <v>1075</v>
      </c>
      <c r="B107" s="5" t="s">
        <v>2367</v>
      </c>
      <c r="C107" s="5">
        <v>150</v>
      </c>
      <c r="D107" s="5">
        <v>5.5</v>
      </c>
      <c r="E107" s="7">
        <f>VLOOKUP(C107,'Taux unitaires'!B:C,2,FALSE)</f>
        <v>1400</v>
      </c>
      <c r="F107" s="6">
        <f t="shared" si="10"/>
        <v>7700</v>
      </c>
      <c r="G107" s="5">
        <f>VLOOKUP(B107,'Durée de vie utile'!$C$8:$E$13,3,FALSE)</f>
        <v>125</v>
      </c>
      <c r="H107" s="5">
        <f>VLOOKUP(B107,'Durée de vie utile'!$C$8:$D$13,2,FALSE)</f>
        <v>80</v>
      </c>
      <c r="I107" s="6">
        <f t="shared" si="11"/>
        <v>96.25</v>
      </c>
      <c r="J107" s="6">
        <f>(F107/(1+'Autres hypothèses'!$D$5))*('Autres hypothèses'!$D$5/(((1+'Autres hypothèses'!$D$5)^'Conduite principale d''eau'!H107-1)))</f>
        <v>62.65856026538399</v>
      </c>
      <c r="K107" s="5">
        <v>1982</v>
      </c>
      <c r="L107" s="5">
        <f t="shared" si="6"/>
        <v>40</v>
      </c>
      <c r="M107" s="1">
        <f t="shared" si="7"/>
        <v>0.5</v>
      </c>
      <c r="N107" s="3">
        <f t="shared" si="8"/>
        <v>3850</v>
      </c>
      <c r="O107" s="3">
        <f t="shared" si="9"/>
        <v>3850</v>
      </c>
    </row>
    <row r="108" spans="1:15" x14ac:dyDescent="0.25">
      <c r="A108" s="4" t="s">
        <v>1076</v>
      </c>
      <c r="B108" s="5" t="s">
        <v>2368</v>
      </c>
      <c r="C108" s="5">
        <v>200</v>
      </c>
      <c r="D108" s="5">
        <v>44.800000000000004</v>
      </c>
      <c r="E108" s="7">
        <f>VLOOKUP(C108,'Taux unitaires'!B:C,2,FALSE)</f>
        <v>1450</v>
      </c>
      <c r="F108" s="6">
        <f t="shared" si="10"/>
        <v>64960.000000000007</v>
      </c>
      <c r="G108" s="5">
        <f>VLOOKUP(B108,'Durée de vie utile'!$C$8:$E$13,3,FALSE)</f>
        <v>125</v>
      </c>
      <c r="H108" s="5">
        <f>VLOOKUP(B108,'Durée de vie utile'!$C$8:$D$13,2,FALSE)</f>
        <v>80</v>
      </c>
      <c r="I108" s="6">
        <f t="shared" si="11"/>
        <v>812.00000000000011</v>
      </c>
      <c r="J108" s="6">
        <f>(F108/(1+'Autres hypothèses'!$D$5))*('Autres hypothèses'!$D$5/(((1+'Autres hypothèses'!$D$5)^'Conduite principale d''eau'!H108-1)))</f>
        <v>528.61039932978508</v>
      </c>
      <c r="K108" s="5">
        <v>1982</v>
      </c>
      <c r="L108" s="5">
        <f t="shared" si="6"/>
        <v>40</v>
      </c>
      <c r="M108" s="1">
        <f t="shared" si="7"/>
        <v>0.5</v>
      </c>
      <c r="N108" s="3">
        <f t="shared" si="8"/>
        <v>32480.000000000004</v>
      </c>
      <c r="O108" s="3">
        <f t="shared" si="9"/>
        <v>32480.000000000004</v>
      </c>
    </row>
    <row r="109" spans="1:15" x14ac:dyDescent="0.25">
      <c r="A109" s="4" t="s">
        <v>1077</v>
      </c>
      <c r="B109" s="5" t="s">
        <v>2369</v>
      </c>
      <c r="C109" s="5">
        <v>150</v>
      </c>
      <c r="D109" s="5">
        <v>39.1</v>
      </c>
      <c r="E109" s="7">
        <f>VLOOKUP(C109,'Taux unitaires'!B:C,2,FALSE)</f>
        <v>1400</v>
      </c>
      <c r="F109" s="6">
        <f t="shared" si="10"/>
        <v>54740</v>
      </c>
      <c r="G109" s="5">
        <f>VLOOKUP(B109,'Durée de vie utile'!$C$8:$E$13,3,FALSE)</f>
        <v>125</v>
      </c>
      <c r="H109" s="5">
        <f>VLOOKUP(B109,'Durée de vie utile'!$C$8:$D$13,2,FALSE)</f>
        <v>80</v>
      </c>
      <c r="I109" s="6">
        <f t="shared" si="11"/>
        <v>684.25</v>
      </c>
      <c r="J109" s="6">
        <f>(F109/(1+'Autres hypothèses'!$D$5))*('Autres hypothèses'!$D$5/(((1+'Autres hypothèses'!$D$5)^'Conduite principale d''eau'!H109-1)))</f>
        <v>445.44540115936621</v>
      </c>
      <c r="K109" s="5">
        <v>1982</v>
      </c>
      <c r="L109" s="5">
        <f t="shared" si="6"/>
        <v>40</v>
      </c>
      <c r="M109" s="1">
        <f t="shared" si="7"/>
        <v>0.5</v>
      </c>
      <c r="N109" s="3">
        <f t="shared" si="8"/>
        <v>27370</v>
      </c>
      <c r="O109" s="3">
        <f t="shared" si="9"/>
        <v>27370</v>
      </c>
    </row>
    <row r="110" spans="1:15" x14ac:dyDescent="0.25">
      <c r="A110" s="4" t="s">
        <v>1078</v>
      </c>
      <c r="B110" s="5" t="s">
        <v>2370</v>
      </c>
      <c r="C110" s="5">
        <v>200</v>
      </c>
      <c r="D110" s="5">
        <v>8.7999999999999989</v>
      </c>
      <c r="E110" s="7">
        <f>VLOOKUP(C110,'Taux unitaires'!B:C,2,FALSE)</f>
        <v>1450</v>
      </c>
      <c r="F110" s="6">
        <f t="shared" si="10"/>
        <v>12759.999999999998</v>
      </c>
      <c r="G110" s="5">
        <f>VLOOKUP(B110,'Durée de vie utile'!$C$8:$E$13,3,FALSE)</f>
        <v>125</v>
      </c>
      <c r="H110" s="5">
        <f>VLOOKUP(B110,'Durée de vie utile'!$C$8:$D$13,2,FALSE)</f>
        <v>80</v>
      </c>
      <c r="I110" s="6">
        <f t="shared" si="11"/>
        <v>159.49999999999997</v>
      </c>
      <c r="J110" s="6">
        <f>(F110/(1+'Autres hypothèses'!$D$5))*('Autres hypothèses'!$D$5/(((1+'Autres hypothèses'!$D$5)^'Conduite principale d''eau'!H110-1)))</f>
        <v>103.83418558263632</v>
      </c>
      <c r="K110" s="5">
        <v>1984</v>
      </c>
      <c r="L110" s="5">
        <f t="shared" si="6"/>
        <v>38</v>
      </c>
      <c r="M110" s="1">
        <f t="shared" si="7"/>
        <v>0.47499999999999998</v>
      </c>
      <c r="N110" s="3">
        <f t="shared" si="8"/>
        <v>6060.9999999999991</v>
      </c>
      <c r="O110" s="3">
        <f t="shared" si="9"/>
        <v>6698.9999999999991</v>
      </c>
    </row>
    <row r="111" spans="1:15" x14ac:dyDescent="0.25">
      <c r="A111" s="4" t="s">
        <v>1079</v>
      </c>
      <c r="B111" s="5" t="s">
        <v>2371</v>
      </c>
      <c r="C111" s="5">
        <v>200</v>
      </c>
      <c r="D111" s="5">
        <v>96.8</v>
      </c>
      <c r="E111" s="7">
        <f>VLOOKUP(C111,'Taux unitaires'!B:C,2,FALSE)</f>
        <v>1450</v>
      </c>
      <c r="F111" s="6">
        <f t="shared" si="10"/>
        <v>140360</v>
      </c>
      <c r="G111" s="5">
        <f>VLOOKUP(B111,'Durée de vie utile'!$C$8:$E$13,3,FALSE)</f>
        <v>125</v>
      </c>
      <c r="H111" s="5">
        <f>VLOOKUP(B111,'Durée de vie utile'!$C$8:$D$13,2,FALSE)</f>
        <v>80</v>
      </c>
      <c r="I111" s="6">
        <f t="shared" si="11"/>
        <v>1754.5</v>
      </c>
      <c r="J111" s="6">
        <f>(F111/(1+'Autres hypothèses'!$D$5))*('Autres hypothèses'!$D$5/(((1+'Autres hypothèses'!$D$5)^'Conduite principale d''eau'!H111-1)))</f>
        <v>1142.1760414089997</v>
      </c>
      <c r="K111" s="5">
        <v>1984</v>
      </c>
      <c r="L111" s="5">
        <f t="shared" si="6"/>
        <v>38</v>
      </c>
      <c r="M111" s="1">
        <f t="shared" si="7"/>
        <v>0.47499999999999998</v>
      </c>
      <c r="N111" s="3">
        <f t="shared" si="8"/>
        <v>66671</v>
      </c>
      <c r="O111" s="3">
        <f t="shared" si="9"/>
        <v>73689</v>
      </c>
    </row>
    <row r="112" spans="1:15" x14ac:dyDescent="0.25">
      <c r="A112" s="4" t="s">
        <v>1080</v>
      </c>
      <c r="B112" s="5" t="s">
        <v>2372</v>
      </c>
      <c r="C112" s="5">
        <v>200</v>
      </c>
      <c r="D112" s="5">
        <v>23.5</v>
      </c>
      <c r="E112" s="7">
        <f>VLOOKUP(C112,'Taux unitaires'!B:C,2,FALSE)</f>
        <v>1450</v>
      </c>
      <c r="F112" s="6">
        <f t="shared" si="10"/>
        <v>34075</v>
      </c>
      <c r="G112" s="5">
        <f>VLOOKUP(B112,'Durée de vie utile'!$C$8:$E$13,3,FALSE)</f>
        <v>100</v>
      </c>
      <c r="H112" s="5">
        <f>VLOOKUP(B112,'Durée de vie utile'!$C$8:$D$13,2,FALSE)</f>
        <v>70</v>
      </c>
      <c r="I112" s="6">
        <f t="shared" si="11"/>
        <v>486.78571428571428</v>
      </c>
      <c r="J112" s="6">
        <f>(F112/(1+'Autres hypothèses'!$D$5))*('Autres hypothèses'!$D$5/(((1+'Autres hypothèses'!$D$5)^'Conduite principale d''eau'!H112-1)))</f>
        <v>335.10976681788122</v>
      </c>
      <c r="K112" s="5">
        <v>1984</v>
      </c>
      <c r="L112" s="5">
        <f t="shared" si="6"/>
        <v>38</v>
      </c>
      <c r="M112" s="1">
        <f t="shared" si="7"/>
        <v>0.54285714285714282</v>
      </c>
      <c r="N112" s="3">
        <f t="shared" si="8"/>
        <v>18497.857142857141</v>
      </c>
      <c r="O112" s="3">
        <f t="shared" si="9"/>
        <v>15577.142857142859</v>
      </c>
    </row>
    <row r="113" spans="1:15" x14ac:dyDescent="0.25">
      <c r="A113" s="4" t="s">
        <v>1081</v>
      </c>
      <c r="B113" s="5" t="s">
        <v>2373</v>
      </c>
      <c r="C113" s="5">
        <v>150</v>
      </c>
      <c r="D113" s="5">
        <v>91.6</v>
      </c>
      <c r="E113" s="7">
        <f>VLOOKUP(C113,'Taux unitaires'!B:C,2,FALSE)</f>
        <v>1400</v>
      </c>
      <c r="F113" s="6">
        <f t="shared" si="10"/>
        <v>128239.99999999999</v>
      </c>
      <c r="G113" s="5">
        <f>VLOOKUP(B113,'Durée de vie utile'!$C$8:$E$13,3,FALSE)</f>
        <v>100</v>
      </c>
      <c r="H113" s="5">
        <f>VLOOKUP(B113,'Durée de vie utile'!$C$8:$D$13,2,FALSE)</f>
        <v>70</v>
      </c>
      <c r="I113" s="6">
        <f t="shared" si="11"/>
        <v>1831.9999999999998</v>
      </c>
      <c r="J113" s="6">
        <f>(F113/(1+'Autres hypothèses'!$D$5))*('Autres hypothèses'!$D$5/(((1+'Autres hypothèses'!$D$5)^'Conduite principale d''eau'!H113-1)))</f>
        <v>1261.1731913932529</v>
      </c>
      <c r="K113" s="5">
        <v>1984</v>
      </c>
      <c r="L113" s="5">
        <f t="shared" si="6"/>
        <v>38</v>
      </c>
      <c r="M113" s="1">
        <f t="shared" si="7"/>
        <v>0.54285714285714282</v>
      </c>
      <c r="N113" s="3">
        <f t="shared" si="8"/>
        <v>69615.999999999985</v>
      </c>
      <c r="O113" s="3">
        <f t="shared" si="9"/>
        <v>58624</v>
      </c>
    </row>
    <row r="114" spans="1:15" x14ac:dyDescent="0.25">
      <c r="A114" s="4" t="s">
        <v>1082</v>
      </c>
      <c r="B114" s="5" t="s">
        <v>2374</v>
      </c>
      <c r="C114" s="5">
        <v>150</v>
      </c>
      <c r="D114" s="5">
        <v>60</v>
      </c>
      <c r="E114" s="7">
        <f>VLOOKUP(C114,'Taux unitaires'!B:C,2,FALSE)</f>
        <v>1400</v>
      </c>
      <c r="F114" s="6">
        <f t="shared" si="10"/>
        <v>84000</v>
      </c>
      <c r="G114" s="5">
        <f>VLOOKUP(B114,'Durée de vie utile'!$C$8:$E$13,3,FALSE)</f>
        <v>100</v>
      </c>
      <c r="H114" s="5">
        <f>VLOOKUP(B114,'Durée de vie utile'!$C$8:$D$13,2,FALSE)</f>
        <v>70</v>
      </c>
      <c r="I114" s="6">
        <f t="shared" si="11"/>
        <v>1200</v>
      </c>
      <c r="J114" s="6">
        <f>(F114/(1+'Autres hypothèses'!$D$5))*('Autres hypothèses'!$D$5/(((1+'Autres hypothèses'!$D$5)^'Conduite principale d''eau'!H114-1)))</f>
        <v>826.09597689514385</v>
      </c>
      <c r="K114" s="5">
        <v>1984</v>
      </c>
      <c r="L114" s="5">
        <f t="shared" si="6"/>
        <v>38</v>
      </c>
      <c r="M114" s="1">
        <f t="shared" si="7"/>
        <v>0.54285714285714282</v>
      </c>
      <c r="N114" s="3">
        <f t="shared" si="8"/>
        <v>45600</v>
      </c>
      <c r="O114" s="3">
        <f t="shared" si="9"/>
        <v>38400</v>
      </c>
    </row>
    <row r="115" spans="1:15" x14ac:dyDescent="0.25">
      <c r="A115" s="4" t="s">
        <v>1083</v>
      </c>
      <c r="B115" s="5" t="s">
        <v>2375</v>
      </c>
      <c r="C115" s="5">
        <v>200</v>
      </c>
      <c r="D115" s="5">
        <v>44</v>
      </c>
      <c r="E115" s="7">
        <f>VLOOKUP(C115,'Taux unitaires'!B:C,2,FALSE)</f>
        <v>1450</v>
      </c>
      <c r="F115" s="6">
        <f t="shared" si="10"/>
        <v>63800</v>
      </c>
      <c r="G115" s="5">
        <f>VLOOKUP(B115,'Durée de vie utile'!$C$8:$E$13,3,FALSE)</f>
        <v>100</v>
      </c>
      <c r="H115" s="5">
        <f>VLOOKUP(B115,'Durée de vie utile'!$C$8:$D$13,2,FALSE)</f>
        <v>70</v>
      </c>
      <c r="I115" s="6">
        <f t="shared" si="11"/>
        <v>911.42857142857144</v>
      </c>
      <c r="J115" s="6">
        <f>(F115/(1+'Autres hypothèses'!$D$5))*('Autres hypothèses'!$D$5/(((1+'Autres hypothèses'!$D$5)^'Conduite principale d''eau'!H115-1)))</f>
        <v>627.43956340369255</v>
      </c>
      <c r="K115" s="5">
        <v>1984</v>
      </c>
      <c r="L115" s="5">
        <f t="shared" si="6"/>
        <v>38</v>
      </c>
      <c r="M115" s="1">
        <f t="shared" si="7"/>
        <v>0.54285714285714282</v>
      </c>
      <c r="N115" s="3">
        <f t="shared" si="8"/>
        <v>34634.28571428571</v>
      </c>
      <c r="O115" s="3">
        <f t="shared" si="9"/>
        <v>29165.71428571429</v>
      </c>
    </row>
    <row r="116" spans="1:15" x14ac:dyDescent="0.25">
      <c r="A116" s="4" t="s">
        <v>1084</v>
      </c>
      <c r="B116" s="5" t="s">
        <v>2376</v>
      </c>
      <c r="C116" s="5">
        <v>200</v>
      </c>
      <c r="D116" s="5">
        <v>57.6</v>
      </c>
      <c r="E116" s="7">
        <f>VLOOKUP(C116,'Taux unitaires'!B:C,2,FALSE)</f>
        <v>1450</v>
      </c>
      <c r="F116" s="6">
        <f t="shared" si="10"/>
        <v>83520</v>
      </c>
      <c r="G116" s="5">
        <f>VLOOKUP(B116,'Durée de vie utile'!$C$8:$E$13,3,FALSE)</f>
        <v>125</v>
      </c>
      <c r="H116" s="5">
        <f>VLOOKUP(B116,'Durée de vie utile'!$C$8:$D$13,2,FALSE)</f>
        <v>80</v>
      </c>
      <c r="I116" s="6">
        <f t="shared" si="11"/>
        <v>1044</v>
      </c>
      <c r="J116" s="6">
        <f>(F116/(1+'Autres hypothèses'!$D$5))*('Autres hypothèses'!$D$5/(((1+'Autres hypothèses'!$D$5)^'Conduite principale d''eau'!H116-1)))</f>
        <v>679.64194199543772</v>
      </c>
      <c r="K116" s="5">
        <v>1984</v>
      </c>
      <c r="L116" s="5">
        <f t="shared" si="6"/>
        <v>38</v>
      </c>
      <c r="M116" s="1">
        <f t="shared" si="7"/>
        <v>0.47499999999999998</v>
      </c>
      <c r="N116" s="3">
        <f t="shared" si="8"/>
        <v>39672</v>
      </c>
      <c r="O116" s="3">
        <f t="shared" si="9"/>
        <v>43848</v>
      </c>
    </row>
    <row r="117" spans="1:15" x14ac:dyDescent="0.25">
      <c r="A117" s="4" t="s">
        <v>1085</v>
      </c>
      <c r="B117" s="5" t="s">
        <v>2377</v>
      </c>
      <c r="C117" s="5">
        <v>200</v>
      </c>
      <c r="D117" s="5">
        <v>23</v>
      </c>
      <c r="E117" s="7">
        <f>VLOOKUP(C117,'Taux unitaires'!B:C,2,FALSE)</f>
        <v>1450</v>
      </c>
      <c r="F117" s="6">
        <f t="shared" si="10"/>
        <v>33350</v>
      </c>
      <c r="G117" s="5">
        <f>VLOOKUP(B117,'Durée de vie utile'!$C$8:$E$13,3,FALSE)</f>
        <v>125</v>
      </c>
      <c r="H117" s="5">
        <f>VLOOKUP(B117,'Durée de vie utile'!$C$8:$D$13,2,FALSE)</f>
        <v>80</v>
      </c>
      <c r="I117" s="6">
        <f t="shared" si="11"/>
        <v>416.875</v>
      </c>
      <c r="J117" s="6">
        <f>(F117/(1+'Autres hypothèses'!$D$5))*('Autres hypothèses'!$D$5/(((1+'Autres hypothèses'!$D$5)^'Conduite principale d''eau'!H117-1)))</f>
        <v>271.38480322734495</v>
      </c>
      <c r="K117" s="5">
        <v>1985</v>
      </c>
      <c r="L117" s="5">
        <f t="shared" si="6"/>
        <v>37</v>
      </c>
      <c r="M117" s="1">
        <f t="shared" si="7"/>
        <v>0.46250000000000002</v>
      </c>
      <c r="N117" s="3">
        <f t="shared" si="8"/>
        <v>15424.375</v>
      </c>
      <c r="O117" s="3">
        <f t="shared" si="9"/>
        <v>17925.625</v>
      </c>
    </row>
    <row r="118" spans="1:15" x14ac:dyDescent="0.25">
      <c r="A118" s="4" t="s">
        <v>1086</v>
      </c>
      <c r="B118" s="5" t="s">
        <v>2378</v>
      </c>
      <c r="C118" s="5">
        <v>200</v>
      </c>
      <c r="D118" s="5">
        <v>38.300000000000004</v>
      </c>
      <c r="E118" s="7">
        <f>VLOOKUP(C118,'Taux unitaires'!B:C,2,FALSE)</f>
        <v>1450</v>
      </c>
      <c r="F118" s="6">
        <f t="shared" si="10"/>
        <v>55535.000000000007</v>
      </c>
      <c r="G118" s="5">
        <f>VLOOKUP(B118,'Durée de vie utile'!$C$8:$E$13,3,FALSE)</f>
        <v>125</v>
      </c>
      <c r="H118" s="5">
        <f>VLOOKUP(B118,'Durée de vie utile'!$C$8:$D$13,2,FALSE)</f>
        <v>80</v>
      </c>
      <c r="I118" s="6">
        <f t="shared" si="11"/>
        <v>694.18750000000011</v>
      </c>
      <c r="J118" s="6">
        <f>(F118/(1+'Autres hypothèses'!$D$5))*('Autres hypothèses'!$D$5/(((1+'Autres hypothèses'!$D$5)^'Conduite principale d''eau'!H118-1)))</f>
        <v>451.91469406988318</v>
      </c>
      <c r="K118" s="5">
        <v>1985</v>
      </c>
      <c r="L118" s="5">
        <f t="shared" si="6"/>
        <v>37</v>
      </c>
      <c r="M118" s="1">
        <f t="shared" si="7"/>
        <v>0.46250000000000002</v>
      </c>
      <c r="N118" s="3">
        <f t="shared" si="8"/>
        <v>25684.937500000004</v>
      </c>
      <c r="O118" s="3">
        <f t="shared" si="9"/>
        <v>29850.062500000004</v>
      </c>
    </row>
    <row r="119" spans="1:15" x14ac:dyDescent="0.25">
      <c r="A119" s="4" t="s">
        <v>1087</v>
      </c>
      <c r="B119" s="5" t="s">
        <v>2379</v>
      </c>
      <c r="C119" s="5">
        <v>300</v>
      </c>
      <c r="D119" s="5">
        <v>78</v>
      </c>
      <c r="E119" s="7">
        <f>VLOOKUP(C119,'Taux unitaires'!B:C,2,FALSE)</f>
        <v>1600</v>
      </c>
      <c r="F119" s="6">
        <f t="shared" si="10"/>
        <v>124800</v>
      </c>
      <c r="G119" s="5">
        <f>VLOOKUP(B119,'Durée de vie utile'!$C$8:$E$13,3,FALSE)</f>
        <v>100</v>
      </c>
      <c r="H119" s="5">
        <f>VLOOKUP(B119,'Durée de vie utile'!$C$8:$D$13,2,FALSE)</f>
        <v>70</v>
      </c>
      <c r="I119" s="6">
        <f t="shared" si="11"/>
        <v>1782.8571428571429</v>
      </c>
      <c r="J119" s="6">
        <f>(F119/(1+'Autres hypothèses'!$D$5))*('Autres hypothèses'!$D$5/(((1+'Autres hypothèses'!$D$5)^'Conduite principale d''eau'!H119-1)))</f>
        <v>1227.3425942442138</v>
      </c>
      <c r="K119" s="5">
        <v>1985</v>
      </c>
      <c r="L119" s="5">
        <f t="shared" si="6"/>
        <v>37</v>
      </c>
      <c r="M119" s="1">
        <f t="shared" si="7"/>
        <v>0.52857142857142858</v>
      </c>
      <c r="N119" s="3">
        <f t="shared" si="8"/>
        <v>65965.71428571429</v>
      </c>
      <c r="O119" s="3">
        <f t="shared" si="9"/>
        <v>58834.28571428571</v>
      </c>
    </row>
    <row r="120" spans="1:15" x14ac:dyDescent="0.25">
      <c r="A120" s="4" t="s">
        <v>1088</v>
      </c>
      <c r="B120" s="5" t="s">
        <v>2380</v>
      </c>
      <c r="C120" s="5">
        <v>200</v>
      </c>
      <c r="D120" s="5">
        <v>3.1</v>
      </c>
      <c r="E120" s="7">
        <f>VLOOKUP(C120,'Taux unitaires'!B:C,2,FALSE)</f>
        <v>1450</v>
      </c>
      <c r="F120" s="6">
        <f t="shared" si="10"/>
        <v>4495</v>
      </c>
      <c r="G120" s="5">
        <f>VLOOKUP(B120,'Durée de vie utile'!$C$8:$E$13,3,FALSE)</f>
        <v>100</v>
      </c>
      <c r="H120" s="5">
        <f>VLOOKUP(B120,'Durée de vie utile'!$C$8:$D$13,2,FALSE)</f>
        <v>70</v>
      </c>
      <c r="I120" s="6">
        <f t="shared" si="11"/>
        <v>64.214285714285708</v>
      </c>
      <c r="J120" s="6">
        <f>(F120/(1+'Autres hypothèses'!$D$5))*('Autres hypothèses'!$D$5/(((1+'Autres hypothèses'!$D$5)^'Conduite principale d''eau'!H120-1)))</f>
        <v>44.205969239805619</v>
      </c>
      <c r="K120" s="5">
        <v>1985</v>
      </c>
      <c r="L120" s="5">
        <f t="shared" si="6"/>
        <v>37</v>
      </c>
      <c r="M120" s="1">
        <f t="shared" si="7"/>
        <v>0.52857142857142858</v>
      </c>
      <c r="N120" s="3">
        <f t="shared" si="8"/>
        <v>2375.9285714285716</v>
      </c>
      <c r="O120" s="3">
        <f t="shared" si="9"/>
        <v>2119.0714285714284</v>
      </c>
    </row>
    <row r="121" spans="1:15" x14ac:dyDescent="0.25">
      <c r="A121" s="4" t="s">
        <v>1089</v>
      </c>
      <c r="B121" s="5" t="s">
        <v>2381</v>
      </c>
      <c r="C121" s="5">
        <v>150</v>
      </c>
      <c r="D121" s="5">
        <v>45.7</v>
      </c>
      <c r="E121" s="7">
        <f>VLOOKUP(C121,'Taux unitaires'!B:C,2,FALSE)</f>
        <v>1400</v>
      </c>
      <c r="F121" s="6">
        <f t="shared" si="10"/>
        <v>63980.000000000007</v>
      </c>
      <c r="G121" s="5">
        <f>VLOOKUP(B121,'Durée de vie utile'!$C$8:$E$13,3,FALSE)</f>
        <v>125</v>
      </c>
      <c r="H121" s="5">
        <f>VLOOKUP(B121,'Durée de vie utile'!$C$8:$D$13,2,FALSE)</f>
        <v>80</v>
      </c>
      <c r="I121" s="6">
        <f t="shared" si="11"/>
        <v>799.75000000000011</v>
      </c>
      <c r="J121" s="6">
        <f>(F121/(1+'Autres hypothèses'!$D$5))*('Autres hypothèses'!$D$5/(((1+'Autres hypothèses'!$D$5)^'Conduite principale d''eau'!H121-1)))</f>
        <v>520.63567347782703</v>
      </c>
      <c r="K121" s="5">
        <v>1986</v>
      </c>
      <c r="L121" s="5">
        <f t="shared" si="6"/>
        <v>36</v>
      </c>
      <c r="M121" s="1">
        <f t="shared" si="7"/>
        <v>0.45</v>
      </c>
      <c r="N121" s="3">
        <f t="shared" si="8"/>
        <v>28791.000000000004</v>
      </c>
      <c r="O121" s="3">
        <f t="shared" si="9"/>
        <v>35189</v>
      </c>
    </row>
    <row r="122" spans="1:15" x14ac:dyDescent="0.25">
      <c r="A122" s="4" t="s">
        <v>1090</v>
      </c>
      <c r="B122" s="5" t="s">
        <v>2382</v>
      </c>
      <c r="C122" s="5">
        <v>200</v>
      </c>
      <c r="D122" s="5">
        <v>3.8000000000000003</v>
      </c>
      <c r="E122" s="7">
        <f>VLOOKUP(C122,'Taux unitaires'!B:C,2,FALSE)</f>
        <v>1450</v>
      </c>
      <c r="F122" s="6">
        <f t="shared" si="10"/>
        <v>5510</v>
      </c>
      <c r="G122" s="5">
        <f>VLOOKUP(B122,'Durée de vie utile'!$C$8:$E$13,3,FALSE)</f>
        <v>125</v>
      </c>
      <c r="H122" s="5">
        <f>VLOOKUP(B122,'Durée de vie utile'!$C$8:$D$13,2,FALSE)</f>
        <v>80</v>
      </c>
      <c r="I122" s="6">
        <f t="shared" si="11"/>
        <v>68.875</v>
      </c>
      <c r="J122" s="6">
        <f>(F122/(1+'Autres hypothèses'!$D$5))*('Autres hypothèses'!$D$5/(((1+'Autres hypothèses'!$D$5)^'Conduite principale d''eau'!H122-1)))</f>
        <v>44.837489228865692</v>
      </c>
      <c r="K122" s="5">
        <v>1986</v>
      </c>
      <c r="L122" s="5">
        <f t="shared" si="6"/>
        <v>36</v>
      </c>
      <c r="M122" s="1">
        <f t="shared" si="7"/>
        <v>0.45</v>
      </c>
      <c r="N122" s="3">
        <f t="shared" si="8"/>
        <v>2479.5</v>
      </c>
      <c r="O122" s="3">
        <f t="shared" si="9"/>
        <v>3030.5</v>
      </c>
    </row>
    <row r="123" spans="1:15" x14ac:dyDescent="0.25">
      <c r="A123" s="4" t="s">
        <v>1091</v>
      </c>
      <c r="B123" s="5" t="s">
        <v>2383</v>
      </c>
      <c r="C123" s="5">
        <v>200</v>
      </c>
      <c r="D123" s="5">
        <v>75.099999999999994</v>
      </c>
      <c r="E123" s="7">
        <f>VLOOKUP(C123,'Taux unitaires'!B:C,2,FALSE)</f>
        <v>1450</v>
      </c>
      <c r="F123" s="6">
        <f t="shared" si="10"/>
        <v>108894.99999999999</v>
      </c>
      <c r="G123" s="5">
        <f>VLOOKUP(B123,'Durée de vie utile'!$C$8:$E$13,3,FALSE)</f>
        <v>100</v>
      </c>
      <c r="H123" s="5">
        <f>VLOOKUP(B123,'Durée de vie utile'!$C$8:$D$13,2,FALSE)</f>
        <v>70</v>
      </c>
      <c r="I123" s="6">
        <f t="shared" si="11"/>
        <v>1555.6428571428569</v>
      </c>
      <c r="J123" s="6">
        <f>(F123/(1+'Autres hypothèses'!$D$5))*('Autres hypothèses'!$D$5/(((1+'Autres hypothèses'!$D$5)^'Conduite principale d''eau'!H123-1)))</f>
        <v>1070.9252548094842</v>
      </c>
      <c r="K123" s="5">
        <v>1986</v>
      </c>
      <c r="L123" s="5">
        <f t="shared" si="6"/>
        <v>36</v>
      </c>
      <c r="M123" s="1">
        <f t="shared" si="7"/>
        <v>0.51428571428571423</v>
      </c>
      <c r="N123" s="3">
        <f t="shared" si="8"/>
        <v>56003.142857142841</v>
      </c>
      <c r="O123" s="3">
        <f t="shared" si="9"/>
        <v>52891.857142857145</v>
      </c>
    </row>
    <row r="124" spans="1:15" x14ac:dyDescent="0.25">
      <c r="A124" s="4" t="s">
        <v>1092</v>
      </c>
      <c r="B124" s="5" t="s">
        <v>2384</v>
      </c>
      <c r="C124" s="5">
        <v>150</v>
      </c>
      <c r="D124" s="5">
        <v>77.699999999999989</v>
      </c>
      <c r="E124" s="7">
        <f>VLOOKUP(C124,'Taux unitaires'!B:C,2,FALSE)</f>
        <v>1400</v>
      </c>
      <c r="F124" s="6">
        <f t="shared" si="10"/>
        <v>108779.99999999999</v>
      </c>
      <c r="G124" s="5">
        <f>VLOOKUP(B124,'Durée de vie utile'!$C$8:$E$13,3,FALSE)</f>
        <v>100</v>
      </c>
      <c r="H124" s="5">
        <f>VLOOKUP(B124,'Durée de vie utile'!$C$8:$D$13,2,FALSE)</f>
        <v>70</v>
      </c>
      <c r="I124" s="6">
        <f t="shared" si="11"/>
        <v>1553.9999999999998</v>
      </c>
      <c r="J124" s="6">
        <f>(F124/(1+'Autres hypothèses'!$D$5))*('Autres hypothèses'!$D$5/(((1+'Autres hypothèses'!$D$5)^'Conduite principale d''eau'!H124-1)))</f>
        <v>1069.7942900792111</v>
      </c>
      <c r="K124" s="5">
        <v>1987</v>
      </c>
      <c r="L124" s="5">
        <f t="shared" si="6"/>
        <v>35</v>
      </c>
      <c r="M124" s="1">
        <f t="shared" si="7"/>
        <v>0.5</v>
      </c>
      <c r="N124" s="3">
        <f t="shared" si="8"/>
        <v>54389.999999999993</v>
      </c>
      <c r="O124" s="3">
        <f t="shared" si="9"/>
        <v>54389.999999999993</v>
      </c>
    </row>
    <row r="125" spans="1:15" x14ac:dyDescent="0.25">
      <c r="A125" s="4" t="s">
        <v>1093</v>
      </c>
      <c r="B125" s="5" t="s">
        <v>2385</v>
      </c>
      <c r="C125" s="5">
        <v>150</v>
      </c>
      <c r="D125" s="5">
        <v>93.6</v>
      </c>
      <c r="E125" s="7">
        <f>VLOOKUP(C125,'Taux unitaires'!B:C,2,FALSE)</f>
        <v>1400</v>
      </c>
      <c r="F125" s="6">
        <f t="shared" si="10"/>
        <v>131039.99999999999</v>
      </c>
      <c r="G125" s="5">
        <f>VLOOKUP(B125,'Durée de vie utile'!$C$8:$E$13,3,FALSE)</f>
        <v>125</v>
      </c>
      <c r="H125" s="5">
        <f>VLOOKUP(B125,'Durée de vie utile'!$C$8:$D$13,2,FALSE)</f>
        <v>80</v>
      </c>
      <c r="I125" s="6">
        <f t="shared" si="11"/>
        <v>1637.9999999999998</v>
      </c>
      <c r="J125" s="6">
        <f>(F125/(1+'Autres hypothèses'!$D$5))*('Autres hypothèses'!$D$5/(((1+'Autres hypothèses'!$D$5)^'Conduite principale d''eau'!H125-1)))</f>
        <v>1066.3347710618075</v>
      </c>
      <c r="K125" s="5">
        <v>1987</v>
      </c>
      <c r="L125" s="5">
        <f t="shared" si="6"/>
        <v>35</v>
      </c>
      <c r="M125" s="1">
        <f t="shared" si="7"/>
        <v>0.4375</v>
      </c>
      <c r="N125" s="3">
        <f t="shared" si="8"/>
        <v>57329.999999999993</v>
      </c>
      <c r="O125" s="3">
        <f t="shared" si="9"/>
        <v>73710</v>
      </c>
    </row>
    <row r="126" spans="1:15" x14ac:dyDescent="0.25">
      <c r="A126" s="4" t="s">
        <v>1094</v>
      </c>
      <c r="B126" s="5" t="s">
        <v>2386</v>
      </c>
      <c r="C126" s="5">
        <v>150</v>
      </c>
      <c r="D126" s="5">
        <v>4.5999999999999996</v>
      </c>
      <c r="E126" s="7">
        <f>VLOOKUP(C126,'Taux unitaires'!B:C,2,FALSE)</f>
        <v>1400</v>
      </c>
      <c r="F126" s="6">
        <f t="shared" si="10"/>
        <v>6439.9999999999991</v>
      </c>
      <c r="G126" s="5">
        <f>VLOOKUP(B126,'Durée de vie utile'!$C$8:$E$13,3,FALSE)</f>
        <v>100</v>
      </c>
      <c r="H126" s="5">
        <f>VLOOKUP(B126,'Durée de vie utile'!$C$8:$D$13,2,FALSE)</f>
        <v>70</v>
      </c>
      <c r="I126" s="6">
        <f t="shared" si="11"/>
        <v>91.999999999999986</v>
      </c>
      <c r="J126" s="6">
        <f>(F126/(1+'Autres hypothèses'!$D$5))*('Autres hypothèses'!$D$5/(((1+'Autres hypothèses'!$D$5)^'Conduite principale d''eau'!H126-1)))</f>
        <v>63.334024895294355</v>
      </c>
      <c r="K126" s="5">
        <v>1987</v>
      </c>
      <c r="L126" s="5">
        <f t="shared" si="6"/>
        <v>35</v>
      </c>
      <c r="M126" s="1">
        <f t="shared" si="7"/>
        <v>0.5</v>
      </c>
      <c r="N126" s="3">
        <f t="shared" si="8"/>
        <v>3219.9999999999995</v>
      </c>
      <c r="O126" s="3">
        <f t="shared" si="9"/>
        <v>3219.9999999999995</v>
      </c>
    </row>
    <row r="127" spans="1:15" x14ac:dyDescent="0.25">
      <c r="A127" s="4" t="s">
        <v>1095</v>
      </c>
      <c r="B127" s="5" t="s">
        <v>2387</v>
      </c>
      <c r="C127" s="5">
        <v>150</v>
      </c>
      <c r="D127" s="5">
        <v>53.7</v>
      </c>
      <c r="E127" s="7">
        <f>VLOOKUP(C127,'Taux unitaires'!B:C,2,FALSE)</f>
        <v>1400</v>
      </c>
      <c r="F127" s="6">
        <f t="shared" si="10"/>
        <v>75180</v>
      </c>
      <c r="G127" s="5">
        <f>VLOOKUP(B127,'Durée de vie utile'!$C$8:$E$13,3,FALSE)</f>
        <v>100</v>
      </c>
      <c r="H127" s="5">
        <f>VLOOKUP(B127,'Durée de vie utile'!$C$8:$D$13,2,FALSE)</f>
        <v>70</v>
      </c>
      <c r="I127" s="6">
        <f t="shared" si="11"/>
        <v>1074</v>
      </c>
      <c r="J127" s="6">
        <f>(F127/(1+'Autres hypothèses'!$D$5))*('Autres hypothèses'!$D$5/(((1+'Autres hypothèses'!$D$5)^'Conduite principale d''eau'!H127-1)))</f>
        <v>739.35589932115374</v>
      </c>
      <c r="K127" s="5">
        <v>1987</v>
      </c>
      <c r="L127" s="5">
        <f t="shared" si="6"/>
        <v>35</v>
      </c>
      <c r="M127" s="1">
        <f t="shared" si="7"/>
        <v>0.5</v>
      </c>
      <c r="N127" s="3">
        <f t="shared" si="8"/>
        <v>37590</v>
      </c>
      <c r="O127" s="3">
        <f t="shared" si="9"/>
        <v>37590</v>
      </c>
    </row>
    <row r="128" spans="1:15" x14ac:dyDescent="0.25">
      <c r="A128" s="4" t="s">
        <v>1096</v>
      </c>
      <c r="B128" s="5" t="s">
        <v>2388</v>
      </c>
      <c r="C128" s="5">
        <v>150</v>
      </c>
      <c r="D128" s="5">
        <v>59.9</v>
      </c>
      <c r="E128" s="7">
        <f>VLOOKUP(C128,'Taux unitaires'!B:C,2,FALSE)</f>
        <v>1400</v>
      </c>
      <c r="F128" s="6">
        <f t="shared" si="10"/>
        <v>83860</v>
      </c>
      <c r="G128" s="5">
        <f>VLOOKUP(B128,'Durée de vie utile'!$C$8:$E$13,3,FALSE)</f>
        <v>125</v>
      </c>
      <c r="H128" s="5">
        <f>VLOOKUP(B128,'Durée de vie utile'!$C$8:$D$13,2,FALSE)</f>
        <v>80</v>
      </c>
      <c r="I128" s="6">
        <f t="shared" si="11"/>
        <v>1048.25</v>
      </c>
      <c r="J128" s="6">
        <f>(F128/(1+'Autres hypothèses'!$D$5))*('Autres hypothèses'!$D$5/(((1+'Autres hypothèses'!$D$5)^'Conduite principale d''eau'!H128-1)))</f>
        <v>682.40868361754565</v>
      </c>
      <c r="K128" s="5">
        <v>1987</v>
      </c>
      <c r="L128" s="5">
        <f t="shared" si="6"/>
        <v>35</v>
      </c>
      <c r="M128" s="1">
        <f t="shared" si="7"/>
        <v>0.4375</v>
      </c>
      <c r="N128" s="3">
        <f t="shared" si="8"/>
        <v>36688.75</v>
      </c>
      <c r="O128" s="3">
        <f t="shared" si="9"/>
        <v>47171.25</v>
      </c>
    </row>
    <row r="129" spans="1:15" x14ac:dyDescent="0.25">
      <c r="A129" s="4" t="s">
        <v>1097</v>
      </c>
      <c r="B129" s="5" t="s">
        <v>2389</v>
      </c>
      <c r="C129" s="5">
        <v>200</v>
      </c>
      <c r="D129" s="5">
        <v>74.5</v>
      </c>
      <c r="E129" s="7">
        <f>VLOOKUP(C129,'Taux unitaires'!B:C,2,FALSE)</f>
        <v>1450</v>
      </c>
      <c r="F129" s="6">
        <f t="shared" si="10"/>
        <v>108025</v>
      </c>
      <c r="G129" s="5">
        <f>VLOOKUP(B129,'Durée de vie utile'!$C$8:$E$13,3,FALSE)</f>
        <v>125</v>
      </c>
      <c r="H129" s="5">
        <f>VLOOKUP(B129,'Durée de vie utile'!$C$8:$D$13,2,FALSE)</f>
        <v>80</v>
      </c>
      <c r="I129" s="6">
        <f t="shared" si="11"/>
        <v>1350.3125</v>
      </c>
      <c r="J129" s="6">
        <f>(F129/(1+'Autres hypothèses'!$D$5))*('Autres hypothèses'!$D$5/(((1+'Autres hypothèses'!$D$5)^'Conduite principale d''eau'!H129-1)))</f>
        <v>879.05077567118258</v>
      </c>
      <c r="K129" s="5">
        <v>1987</v>
      </c>
      <c r="L129" s="5">
        <f t="shared" si="6"/>
        <v>35</v>
      </c>
      <c r="M129" s="1">
        <f t="shared" si="7"/>
        <v>0.4375</v>
      </c>
      <c r="N129" s="3">
        <f t="shared" si="8"/>
        <v>47260.9375</v>
      </c>
      <c r="O129" s="3">
        <f t="shared" si="9"/>
        <v>60764.0625</v>
      </c>
    </row>
    <row r="130" spans="1:15" x14ac:dyDescent="0.25">
      <c r="A130" s="4" t="s">
        <v>1098</v>
      </c>
      <c r="B130" s="5" t="s">
        <v>2390</v>
      </c>
      <c r="C130" s="5">
        <v>400</v>
      </c>
      <c r="D130" s="5">
        <v>43.300000000000004</v>
      </c>
      <c r="E130" s="7">
        <f>VLOOKUP(C130,'Taux unitaires'!B:C,2,FALSE)</f>
        <v>1650</v>
      </c>
      <c r="F130" s="6">
        <f t="shared" si="10"/>
        <v>71445</v>
      </c>
      <c r="G130" s="5">
        <f>VLOOKUP(B130,'Durée de vie utile'!$C$8:$E$13,3,FALSE)</f>
        <v>125</v>
      </c>
      <c r="H130" s="5">
        <f>VLOOKUP(B130,'Durée de vie utile'!$C$8:$D$13,2,FALSE)</f>
        <v>80</v>
      </c>
      <c r="I130" s="6">
        <f t="shared" si="11"/>
        <v>893.0625</v>
      </c>
      <c r="J130" s="6">
        <f>(F130/(1+'Autres hypothèses'!$D$5))*('Autres hypothèses'!$D$5/(((1+'Autres hypothèses'!$D$5)^'Conduite principale d''eau'!H130-1)))</f>
        <v>581.38192703381299</v>
      </c>
      <c r="K130" s="5">
        <v>1987</v>
      </c>
      <c r="L130" s="5">
        <f t="shared" ref="L130:L193" si="12">2022-K130</f>
        <v>35</v>
      </c>
      <c r="M130" s="1">
        <f t="shared" ref="M130:M193" si="13">L130/H130</f>
        <v>0.4375</v>
      </c>
      <c r="N130" s="3">
        <f t="shared" ref="N130:N193" si="14">M130*F130</f>
        <v>31257.1875</v>
      </c>
      <c r="O130" s="3">
        <f t="shared" ref="O130:O193" si="15">F130-N130</f>
        <v>40187.8125</v>
      </c>
    </row>
    <row r="131" spans="1:15" x14ac:dyDescent="0.25">
      <c r="A131" s="4" t="s">
        <v>1099</v>
      </c>
      <c r="B131" s="5" t="s">
        <v>2391</v>
      </c>
      <c r="C131" s="5">
        <v>200</v>
      </c>
      <c r="D131" s="5">
        <v>88.8</v>
      </c>
      <c r="E131" s="7">
        <f>VLOOKUP(C131,'Taux unitaires'!B:C,2,FALSE)</f>
        <v>1450</v>
      </c>
      <c r="F131" s="6">
        <f t="shared" ref="F131:F194" si="16">D131*E131</f>
        <v>128760</v>
      </c>
      <c r="G131" s="5">
        <f>VLOOKUP(B131,'Durée de vie utile'!$C$8:$E$13,3,FALSE)</f>
        <v>125</v>
      </c>
      <c r="H131" s="5">
        <f>VLOOKUP(B131,'Durée de vie utile'!$C$8:$D$13,2,FALSE)</f>
        <v>80</v>
      </c>
      <c r="I131" s="6">
        <f t="shared" ref="I131:I194" si="17">F131/H131</f>
        <v>1609.5</v>
      </c>
      <c r="J131" s="6">
        <f>(F131/(1+'Autres hypothèses'!$D$5))*('Autres hypothèses'!$D$5/(((1+'Autres hypothèses'!$D$5)^'Conduite principale d''eau'!H131-1)))</f>
        <v>1047.7813272429667</v>
      </c>
      <c r="K131" s="5">
        <v>1988</v>
      </c>
      <c r="L131" s="5">
        <f t="shared" si="12"/>
        <v>34</v>
      </c>
      <c r="M131" s="1">
        <f t="shared" si="13"/>
        <v>0.42499999999999999</v>
      </c>
      <c r="N131" s="3">
        <f t="shared" si="14"/>
        <v>54723</v>
      </c>
      <c r="O131" s="3">
        <f t="shared" si="15"/>
        <v>74037</v>
      </c>
    </row>
    <row r="132" spans="1:15" x14ac:dyDescent="0.25">
      <c r="A132" s="4" t="s">
        <v>1100</v>
      </c>
      <c r="B132" s="5" t="s">
        <v>2392</v>
      </c>
      <c r="C132" s="5">
        <v>150</v>
      </c>
      <c r="D132" s="5">
        <v>93.8</v>
      </c>
      <c r="E132" s="7">
        <f>VLOOKUP(C132,'Taux unitaires'!B:C,2,FALSE)</f>
        <v>1400</v>
      </c>
      <c r="F132" s="6">
        <f t="shared" si="16"/>
        <v>131320</v>
      </c>
      <c r="G132" s="5">
        <f>VLOOKUP(B132,'Durée de vie utile'!$C$8:$E$13,3,FALSE)</f>
        <v>125</v>
      </c>
      <c r="H132" s="5">
        <f>VLOOKUP(B132,'Durée de vie utile'!$C$8:$D$13,2,FALSE)</f>
        <v>80</v>
      </c>
      <c r="I132" s="6">
        <f t="shared" si="17"/>
        <v>1641.5</v>
      </c>
      <c r="J132" s="6">
        <f>(F132/(1+'Autres hypothèses'!$D$5))*('Autres hypothèses'!$D$5/(((1+'Autres hypothèses'!$D$5)^'Conduite principale d''eau'!H132-1)))</f>
        <v>1068.6132641623669</v>
      </c>
      <c r="K132" s="5">
        <v>1988</v>
      </c>
      <c r="L132" s="5">
        <f t="shared" si="12"/>
        <v>34</v>
      </c>
      <c r="M132" s="1">
        <f t="shared" si="13"/>
        <v>0.42499999999999999</v>
      </c>
      <c r="N132" s="3">
        <f t="shared" si="14"/>
        <v>55811</v>
      </c>
      <c r="O132" s="3">
        <f t="shared" si="15"/>
        <v>75509</v>
      </c>
    </row>
    <row r="133" spans="1:15" x14ac:dyDescent="0.25">
      <c r="A133" s="4" t="s">
        <v>1101</v>
      </c>
      <c r="B133" s="5" t="s">
        <v>2393</v>
      </c>
      <c r="C133" s="5">
        <v>150</v>
      </c>
      <c r="D133" s="5">
        <v>25</v>
      </c>
      <c r="E133" s="7">
        <f>VLOOKUP(C133,'Taux unitaires'!B:C,2,FALSE)</f>
        <v>1400</v>
      </c>
      <c r="F133" s="6">
        <f t="shared" si="16"/>
        <v>35000</v>
      </c>
      <c r="G133" s="5">
        <f>VLOOKUP(B133,'Durée de vie utile'!$C$8:$E$13,3,FALSE)</f>
        <v>100</v>
      </c>
      <c r="H133" s="5">
        <f>VLOOKUP(B133,'Durée de vie utile'!$C$8:$D$13,2,FALSE)</f>
        <v>70</v>
      </c>
      <c r="I133" s="6">
        <f t="shared" si="17"/>
        <v>500</v>
      </c>
      <c r="J133" s="6">
        <f>(F133/(1+'Autres hypothèses'!$D$5))*('Autres hypothèses'!$D$5/(((1+'Autres hypothèses'!$D$5)^'Conduite principale d''eau'!H133-1)))</f>
        <v>344.20665703964329</v>
      </c>
      <c r="K133" s="5">
        <v>1988</v>
      </c>
      <c r="L133" s="5">
        <f t="shared" si="12"/>
        <v>34</v>
      </c>
      <c r="M133" s="1">
        <f t="shared" si="13"/>
        <v>0.48571428571428571</v>
      </c>
      <c r="N133" s="3">
        <f t="shared" si="14"/>
        <v>17000</v>
      </c>
      <c r="O133" s="3">
        <f t="shared" si="15"/>
        <v>18000</v>
      </c>
    </row>
    <row r="134" spans="1:15" x14ac:dyDescent="0.25">
      <c r="A134" s="4" t="s">
        <v>1102</v>
      </c>
      <c r="B134" s="5" t="s">
        <v>2394</v>
      </c>
      <c r="C134" s="5">
        <v>150</v>
      </c>
      <c r="D134" s="5">
        <v>29.6</v>
      </c>
      <c r="E134" s="7">
        <f>VLOOKUP(C134,'Taux unitaires'!B:C,2,FALSE)</f>
        <v>1400</v>
      </c>
      <c r="F134" s="6">
        <f t="shared" si="16"/>
        <v>41440</v>
      </c>
      <c r="G134" s="5">
        <f>VLOOKUP(B134,'Durée de vie utile'!$C$8:$E$13,3,FALSE)</f>
        <v>100</v>
      </c>
      <c r="H134" s="5">
        <f>VLOOKUP(B134,'Durée de vie utile'!$C$8:$D$13,2,FALSE)</f>
        <v>70</v>
      </c>
      <c r="I134" s="6">
        <f t="shared" si="17"/>
        <v>592</v>
      </c>
      <c r="J134" s="6">
        <f>(F134/(1+'Autres hypothèses'!$D$5))*('Autres hypothèses'!$D$5/(((1+'Autres hypothèses'!$D$5)^'Conduite principale d''eau'!H134-1)))</f>
        <v>407.54068193493765</v>
      </c>
      <c r="K134" s="5">
        <v>1988</v>
      </c>
      <c r="L134" s="5">
        <f t="shared" si="12"/>
        <v>34</v>
      </c>
      <c r="M134" s="1">
        <f t="shared" si="13"/>
        <v>0.48571428571428571</v>
      </c>
      <c r="N134" s="3">
        <f t="shared" si="14"/>
        <v>20128</v>
      </c>
      <c r="O134" s="3">
        <f t="shared" si="15"/>
        <v>21312</v>
      </c>
    </row>
    <row r="135" spans="1:15" x14ac:dyDescent="0.25">
      <c r="A135" s="4" t="s">
        <v>1103</v>
      </c>
      <c r="B135" s="5" t="s">
        <v>2395</v>
      </c>
      <c r="C135" s="5">
        <v>200</v>
      </c>
      <c r="D135" s="5">
        <v>40</v>
      </c>
      <c r="E135" s="7">
        <f>VLOOKUP(C135,'Taux unitaires'!B:C,2,FALSE)</f>
        <v>1450</v>
      </c>
      <c r="F135" s="6">
        <f t="shared" si="16"/>
        <v>58000</v>
      </c>
      <c r="G135" s="5">
        <f>VLOOKUP(B135,'Durée de vie utile'!$C$8:$E$13,3,FALSE)</f>
        <v>125</v>
      </c>
      <c r="H135" s="5">
        <f>VLOOKUP(B135,'Durée de vie utile'!$C$8:$D$13,2,FALSE)</f>
        <v>80</v>
      </c>
      <c r="I135" s="6">
        <f t="shared" si="17"/>
        <v>725</v>
      </c>
      <c r="J135" s="6">
        <f>(F135/(1+'Autres hypothèses'!$D$5))*('Autres hypothèses'!$D$5/(((1+'Autres hypothèses'!$D$5)^'Conduite principale d''eau'!H135-1)))</f>
        <v>471.97357083016516</v>
      </c>
      <c r="K135" s="5">
        <v>1988</v>
      </c>
      <c r="L135" s="5">
        <f t="shared" si="12"/>
        <v>34</v>
      </c>
      <c r="M135" s="1">
        <f t="shared" si="13"/>
        <v>0.42499999999999999</v>
      </c>
      <c r="N135" s="3">
        <f t="shared" si="14"/>
        <v>24650</v>
      </c>
      <c r="O135" s="3">
        <f t="shared" si="15"/>
        <v>33350</v>
      </c>
    </row>
    <row r="136" spans="1:15" x14ac:dyDescent="0.25">
      <c r="A136" s="4" t="s">
        <v>1104</v>
      </c>
      <c r="B136" s="5" t="s">
        <v>2396</v>
      </c>
      <c r="C136" s="5">
        <v>200</v>
      </c>
      <c r="D136" s="5">
        <v>94.6</v>
      </c>
      <c r="E136" s="7">
        <f>VLOOKUP(C136,'Taux unitaires'!B:C,2,FALSE)</f>
        <v>1450</v>
      </c>
      <c r="F136" s="6">
        <f t="shared" si="16"/>
        <v>137170</v>
      </c>
      <c r="G136" s="5">
        <f>VLOOKUP(B136,'Durée de vie utile'!$C$8:$E$13,3,FALSE)</f>
        <v>125</v>
      </c>
      <c r="H136" s="5">
        <f>VLOOKUP(B136,'Durée de vie utile'!$C$8:$D$13,2,FALSE)</f>
        <v>80</v>
      </c>
      <c r="I136" s="6">
        <f t="shared" si="17"/>
        <v>1714.625</v>
      </c>
      <c r="J136" s="6">
        <f>(F136/(1+'Autres hypothèses'!$D$5))*('Autres hypothèses'!$D$5/(((1+'Autres hypothèses'!$D$5)^'Conduite principale d''eau'!H136-1)))</f>
        <v>1116.2174950133406</v>
      </c>
      <c r="K136" s="5">
        <v>1988</v>
      </c>
      <c r="L136" s="5">
        <f t="shared" si="12"/>
        <v>34</v>
      </c>
      <c r="M136" s="1">
        <f t="shared" si="13"/>
        <v>0.42499999999999999</v>
      </c>
      <c r="N136" s="3">
        <f t="shared" si="14"/>
        <v>58297.25</v>
      </c>
      <c r="O136" s="3">
        <f t="shared" si="15"/>
        <v>78872.75</v>
      </c>
    </row>
    <row r="137" spans="1:15" x14ac:dyDescent="0.25">
      <c r="A137" s="4" t="s">
        <v>1105</v>
      </c>
      <c r="B137" s="5" t="s">
        <v>2397</v>
      </c>
      <c r="C137" s="5">
        <v>150</v>
      </c>
      <c r="D137" s="5">
        <v>57.5</v>
      </c>
      <c r="E137" s="7">
        <f>VLOOKUP(C137,'Taux unitaires'!B:C,2,FALSE)</f>
        <v>1400</v>
      </c>
      <c r="F137" s="6">
        <f t="shared" si="16"/>
        <v>80500</v>
      </c>
      <c r="G137" s="5">
        <f>VLOOKUP(B137,'Durée de vie utile'!$C$8:$E$13,3,FALSE)</f>
        <v>125</v>
      </c>
      <c r="H137" s="5">
        <f>VLOOKUP(B137,'Durée de vie utile'!$C$8:$D$13,2,FALSE)</f>
        <v>80</v>
      </c>
      <c r="I137" s="6">
        <f t="shared" si="17"/>
        <v>1006.25</v>
      </c>
      <c r="J137" s="6">
        <f>(F137/(1+'Autres hypothèses'!$D$5))*('Autres hypothèses'!$D$5/(((1+'Autres hypothèses'!$D$5)^'Conduite principale d''eau'!H137-1)))</f>
        <v>655.06676641083266</v>
      </c>
      <c r="K137" s="5">
        <v>1988</v>
      </c>
      <c r="L137" s="5">
        <f t="shared" si="12"/>
        <v>34</v>
      </c>
      <c r="M137" s="1">
        <f t="shared" si="13"/>
        <v>0.42499999999999999</v>
      </c>
      <c r="N137" s="3">
        <f t="shared" si="14"/>
        <v>34212.5</v>
      </c>
      <c r="O137" s="3">
        <f t="shared" si="15"/>
        <v>46287.5</v>
      </c>
    </row>
    <row r="138" spans="1:15" x14ac:dyDescent="0.25">
      <c r="A138" s="4" t="s">
        <v>1106</v>
      </c>
      <c r="B138" s="5" t="s">
        <v>2398</v>
      </c>
      <c r="C138" s="5">
        <v>150</v>
      </c>
      <c r="D138" s="5">
        <v>89.8</v>
      </c>
      <c r="E138" s="7">
        <f>VLOOKUP(C138,'Taux unitaires'!B:C,2,FALSE)</f>
        <v>1400</v>
      </c>
      <c r="F138" s="6">
        <f t="shared" si="16"/>
        <v>125720</v>
      </c>
      <c r="G138" s="5">
        <f>VLOOKUP(B138,'Durée de vie utile'!$C$8:$E$13,3,FALSE)</f>
        <v>100</v>
      </c>
      <c r="H138" s="5">
        <f>VLOOKUP(B138,'Durée de vie utile'!$C$8:$D$13,2,FALSE)</f>
        <v>70</v>
      </c>
      <c r="I138" s="6">
        <f t="shared" si="17"/>
        <v>1796</v>
      </c>
      <c r="J138" s="6">
        <f>(F138/(1+'Autres hypothèses'!$D$5))*('Autres hypothèses'!$D$5/(((1+'Autres hypothèses'!$D$5)^'Conduite principale d''eau'!H138-1)))</f>
        <v>1236.3903120863986</v>
      </c>
      <c r="K138" s="5">
        <v>1989</v>
      </c>
      <c r="L138" s="5">
        <f t="shared" si="12"/>
        <v>33</v>
      </c>
      <c r="M138" s="1">
        <f t="shared" si="13"/>
        <v>0.47142857142857142</v>
      </c>
      <c r="N138" s="3">
        <f t="shared" si="14"/>
        <v>59268</v>
      </c>
      <c r="O138" s="3">
        <f t="shared" si="15"/>
        <v>66452</v>
      </c>
    </row>
    <row r="139" spans="1:15" x14ac:dyDescent="0.25">
      <c r="A139" s="4" t="s">
        <v>1107</v>
      </c>
      <c r="B139" s="5" t="s">
        <v>2399</v>
      </c>
      <c r="C139" s="5">
        <v>150</v>
      </c>
      <c r="D139" s="5">
        <v>6.6999999999999993</v>
      </c>
      <c r="E139" s="7">
        <f>VLOOKUP(C139,'Taux unitaires'!B:C,2,FALSE)</f>
        <v>1400</v>
      </c>
      <c r="F139" s="6">
        <f t="shared" si="16"/>
        <v>9379.9999999999982</v>
      </c>
      <c r="G139" s="5">
        <f>VLOOKUP(B139,'Durée de vie utile'!$C$8:$E$13,3,FALSE)</f>
        <v>125</v>
      </c>
      <c r="H139" s="5">
        <f>VLOOKUP(B139,'Durée de vie utile'!$C$8:$D$13,2,FALSE)</f>
        <v>80</v>
      </c>
      <c r="I139" s="6">
        <f t="shared" si="17"/>
        <v>117.24999999999997</v>
      </c>
      <c r="J139" s="6">
        <f>(F139/(1+'Autres hypothèses'!$D$5))*('Autres hypothèses'!$D$5/(((1+'Autres hypothèses'!$D$5)^'Conduite principale d''eau'!H139-1)))</f>
        <v>76.329518868740479</v>
      </c>
      <c r="K139" s="5">
        <v>1989</v>
      </c>
      <c r="L139" s="5">
        <f t="shared" si="12"/>
        <v>33</v>
      </c>
      <c r="M139" s="1">
        <f t="shared" si="13"/>
        <v>0.41249999999999998</v>
      </c>
      <c r="N139" s="3">
        <f t="shared" si="14"/>
        <v>3869.2499999999991</v>
      </c>
      <c r="O139" s="3">
        <f t="shared" si="15"/>
        <v>5510.7499999999991</v>
      </c>
    </row>
    <row r="140" spans="1:15" x14ac:dyDescent="0.25">
      <c r="A140" s="4" t="s">
        <v>1108</v>
      </c>
      <c r="B140" s="5" t="s">
        <v>2400</v>
      </c>
      <c r="C140" s="5">
        <v>150</v>
      </c>
      <c r="D140" s="5">
        <v>86.699999999999989</v>
      </c>
      <c r="E140" s="7">
        <f>VLOOKUP(C140,'Taux unitaires'!B:C,2,FALSE)</f>
        <v>1400</v>
      </c>
      <c r="F140" s="6">
        <f t="shared" si="16"/>
        <v>121379.99999999999</v>
      </c>
      <c r="G140" s="5">
        <f>VLOOKUP(B140,'Durée de vie utile'!$C$8:$E$13,3,FALSE)</f>
        <v>125</v>
      </c>
      <c r="H140" s="5">
        <f>VLOOKUP(B140,'Durée de vie utile'!$C$8:$D$13,2,FALSE)</f>
        <v>80</v>
      </c>
      <c r="I140" s="6">
        <f t="shared" si="17"/>
        <v>1517.2499999999998</v>
      </c>
      <c r="J140" s="6">
        <f>(F140/(1+'Autres hypothèses'!$D$5))*('Autres hypothèses'!$D$5/(((1+'Autres hypothèses'!$D$5)^'Conduite principale d''eau'!H140-1)))</f>
        <v>987.72675909250756</v>
      </c>
      <c r="K140" s="5">
        <v>1989</v>
      </c>
      <c r="L140" s="5">
        <f t="shared" si="12"/>
        <v>33</v>
      </c>
      <c r="M140" s="1">
        <f t="shared" si="13"/>
        <v>0.41249999999999998</v>
      </c>
      <c r="N140" s="3">
        <f t="shared" si="14"/>
        <v>50069.249999999993</v>
      </c>
      <c r="O140" s="3">
        <f t="shared" si="15"/>
        <v>71310.75</v>
      </c>
    </row>
    <row r="141" spans="1:15" x14ac:dyDescent="0.25">
      <c r="A141" s="4" t="s">
        <v>1109</v>
      </c>
      <c r="B141" s="5" t="s">
        <v>2401</v>
      </c>
      <c r="C141" s="5">
        <v>150</v>
      </c>
      <c r="D141" s="5">
        <v>52.300000000000004</v>
      </c>
      <c r="E141" s="7">
        <f>VLOOKUP(C141,'Taux unitaires'!B:C,2,FALSE)</f>
        <v>1400</v>
      </c>
      <c r="F141" s="6">
        <f t="shared" si="16"/>
        <v>73220</v>
      </c>
      <c r="G141" s="5">
        <f>VLOOKUP(B141,'Durée de vie utile'!$C$8:$E$13,3,FALSE)</f>
        <v>100</v>
      </c>
      <c r="H141" s="5">
        <f>VLOOKUP(B141,'Durée de vie utile'!$C$8:$D$13,2,FALSE)</f>
        <v>70</v>
      </c>
      <c r="I141" s="6">
        <f t="shared" si="17"/>
        <v>1046</v>
      </c>
      <c r="J141" s="6">
        <f>(F141/(1+'Autres hypothèses'!$D$5))*('Autres hypothèses'!$D$5/(((1+'Autres hypothèses'!$D$5)^'Conduite principale d''eau'!H141-1)))</f>
        <v>720.08032652693373</v>
      </c>
      <c r="K141" s="5">
        <v>1989</v>
      </c>
      <c r="L141" s="5">
        <f t="shared" si="12"/>
        <v>33</v>
      </c>
      <c r="M141" s="1">
        <f t="shared" si="13"/>
        <v>0.47142857142857142</v>
      </c>
      <c r="N141" s="3">
        <f t="shared" si="14"/>
        <v>34518</v>
      </c>
      <c r="O141" s="3">
        <f t="shared" si="15"/>
        <v>38702</v>
      </c>
    </row>
    <row r="142" spans="1:15" x14ac:dyDescent="0.25">
      <c r="A142" s="4" t="s">
        <v>1110</v>
      </c>
      <c r="B142" s="5" t="s">
        <v>2402</v>
      </c>
      <c r="C142" s="5">
        <v>300</v>
      </c>
      <c r="D142" s="5">
        <v>17.200000000000003</v>
      </c>
      <c r="E142" s="7">
        <f>VLOOKUP(C142,'Taux unitaires'!B:C,2,FALSE)</f>
        <v>1600</v>
      </c>
      <c r="F142" s="6">
        <f t="shared" si="16"/>
        <v>27520.000000000004</v>
      </c>
      <c r="G142" s="5">
        <f>VLOOKUP(B142,'Durée de vie utile'!$C$8:$E$13,3,FALSE)</f>
        <v>100</v>
      </c>
      <c r="H142" s="5">
        <f>VLOOKUP(B142,'Durée de vie utile'!$C$8:$D$13,2,FALSE)</f>
        <v>70</v>
      </c>
      <c r="I142" s="6">
        <f t="shared" si="17"/>
        <v>393.14285714285717</v>
      </c>
      <c r="J142" s="6">
        <f>(F142/(1+'Autres hypothèses'!$D$5))*('Autres hypothèses'!$D$5/(((1+'Autres hypothèses'!$D$5)^'Conduite principale d''eau'!H142-1)))</f>
        <v>270.64477719231382</v>
      </c>
      <c r="K142" s="5">
        <v>1989</v>
      </c>
      <c r="L142" s="5">
        <f t="shared" si="12"/>
        <v>33</v>
      </c>
      <c r="M142" s="1">
        <f t="shared" si="13"/>
        <v>0.47142857142857142</v>
      </c>
      <c r="N142" s="3">
        <f t="shared" si="14"/>
        <v>12973.714285714288</v>
      </c>
      <c r="O142" s="3">
        <f t="shared" si="15"/>
        <v>14546.285714285716</v>
      </c>
    </row>
    <row r="143" spans="1:15" x14ac:dyDescent="0.25">
      <c r="A143" s="4" t="s">
        <v>1111</v>
      </c>
      <c r="B143" s="5" t="s">
        <v>2403</v>
      </c>
      <c r="C143" s="5">
        <v>150</v>
      </c>
      <c r="D143" s="5">
        <v>48.1</v>
      </c>
      <c r="E143" s="7">
        <f>VLOOKUP(C143,'Taux unitaires'!B:C,2,FALSE)</f>
        <v>1400</v>
      </c>
      <c r="F143" s="6">
        <f t="shared" si="16"/>
        <v>67340</v>
      </c>
      <c r="G143" s="5">
        <f>VLOOKUP(B143,'Durée de vie utile'!$C$8:$E$13,3,FALSE)</f>
        <v>125</v>
      </c>
      <c r="H143" s="5">
        <f>VLOOKUP(B143,'Durée de vie utile'!$C$8:$D$13,2,FALSE)</f>
        <v>80</v>
      </c>
      <c r="I143" s="6">
        <f t="shared" si="17"/>
        <v>841.75</v>
      </c>
      <c r="J143" s="6">
        <f>(F143/(1+'Autres hypothèses'!$D$5))*('Autres hypothèses'!$D$5/(((1+'Autres hypothèses'!$D$5)^'Conduite principale d''eau'!H143-1)))</f>
        <v>547.97759068454002</v>
      </c>
      <c r="K143" s="5">
        <v>1990</v>
      </c>
      <c r="L143" s="5">
        <f t="shared" si="12"/>
        <v>32</v>
      </c>
      <c r="M143" s="1">
        <f t="shared" si="13"/>
        <v>0.4</v>
      </c>
      <c r="N143" s="3">
        <f t="shared" si="14"/>
        <v>26936</v>
      </c>
      <c r="O143" s="3">
        <f t="shared" si="15"/>
        <v>40404</v>
      </c>
    </row>
    <row r="144" spans="1:15" x14ac:dyDescent="0.25">
      <c r="A144" s="4" t="s">
        <v>1112</v>
      </c>
      <c r="B144" s="5" t="s">
        <v>2404</v>
      </c>
      <c r="C144" s="5">
        <v>200</v>
      </c>
      <c r="D144" s="5">
        <v>86.8</v>
      </c>
      <c r="E144" s="7">
        <f>VLOOKUP(C144,'Taux unitaires'!B:C,2,FALSE)</f>
        <v>1450</v>
      </c>
      <c r="F144" s="6">
        <f t="shared" si="16"/>
        <v>125860</v>
      </c>
      <c r="G144" s="5">
        <f>VLOOKUP(B144,'Durée de vie utile'!$C$8:$E$13,3,FALSE)</f>
        <v>125</v>
      </c>
      <c r="H144" s="5">
        <f>VLOOKUP(B144,'Durée de vie utile'!$C$8:$D$13,2,FALSE)</f>
        <v>80</v>
      </c>
      <c r="I144" s="6">
        <f t="shared" si="17"/>
        <v>1573.25</v>
      </c>
      <c r="J144" s="6">
        <f>(F144/(1+'Autres hypothèses'!$D$5))*('Autres hypothèses'!$D$5/(((1+'Autres hypothèses'!$D$5)^'Conduite principale d''eau'!H144-1)))</f>
        <v>1024.1826487014584</v>
      </c>
      <c r="K144" s="5">
        <v>1990</v>
      </c>
      <c r="L144" s="5">
        <f t="shared" si="12"/>
        <v>32</v>
      </c>
      <c r="M144" s="1">
        <f t="shared" si="13"/>
        <v>0.4</v>
      </c>
      <c r="N144" s="3">
        <f t="shared" si="14"/>
        <v>50344</v>
      </c>
      <c r="O144" s="3">
        <f t="shared" si="15"/>
        <v>75516</v>
      </c>
    </row>
    <row r="145" spans="1:15" x14ac:dyDescent="0.25">
      <c r="A145" s="4" t="s">
        <v>1113</v>
      </c>
      <c r="B145" s="5" t="s">
        <v>2405</v>
      </c>
      <c r="C145" s="5">
        <v>150</v>
      </c>
      <c r="D145" s="5">
        <v>67.099999999999994</v>
      </c>
      <c r="E145" s="7">
        <f>VLOOKUP(C145,'Taux unitaires'!B:C,2,FALSE)</f>
        <v>1400</v>
      </c>
      <c r="F145" s="6">
        <f t="shared" si="16"/>
        <v>93939.999999999985</v>
      </c>
      <c r="G145" s="5">
        <f>VLOOKUP(B145,'Durée de vie utile'!$C$8:$E$13,3,FALSE)</f>
        <v>100</v>
      </c>
      <c r="H145" s="5">
        <f>VLOOKUP(B145,'Durée de vie utile'!$C$8:$D$13,2,FALSE)</f>
        <v>70</v>
      </c>
      <c r="I145" s="6">
        <f t="shared" si="17"/>
        <v>1341.9999999999998</v>
      </c>
      <c r="J145" s="6">
        <f>(F145/(1+'Autres hypothèses'!$D$5))*('Autres hypothèses'!$D$5/(((1+'Autres hypothèses'!$D$5)^'Conduite principale d''eau'!H145-1)))</f>
        <v>923.85066749440239</v>
      </c>
      <c r="K145" s="5">
        <v>1990</v>
      </c>
      <c r="L145" s="5">
        <f t="shared" si="12"/>
        <v>32</v>
      </c>
      <c r="M145" s="1">
        <f t="shared" si="13"/>
        <v>0.45714285714285713</v>
      </c>
      <c r="N145" s="3">
        <f t="shared" si="14"/>
        <v>42943.999999999993</v>
      </c>
      <c r="O145" s="3">
        <f t="shared" si="15"/>
        <v>50995.999999999993</v>
      </c>
    </row>
    <row r="146" spans="1:15" x14ac:dyDescent="0.25">
      <c r="A146" s="4" t="s">
        <v>1114</v>
      </c>
      <c r="B146" s="5" t="s">
        <v>2406</v>
      </c>
      <c r="C146" s="5">
        <v>200</v>
      </c>
      <c r="D146" s="5">
        <v>93</v>
      </c>
      <c r="E146" s="7">
        <f>VLOOKUP(C146,'Taux unitaires'!B:C,2,FALSE)</f>
        <v>1450</v>
      </c>
      <c r="F146" s="6">
        <f t="shared" si="16"/>
        <v>134850</v>
      </c>
      <c r="G146" s="5">
        <f>VLOOKUP(B146,'Durée de vie utile'!$C$8:$E$13,3,FALSE)</f>
        <v>125</v>
      </c>
      <c r="H146" s="5">
        <f>VLOOKUP(B146,'Durée de vie utile'!$C$8:$D$13,2,FALSE)</f>
        <v>80</v>
      </c>
      <c r="I146" s="6">
        <f t="shared" si="17"/>
        <v>1685.625</v>
      </c>
      <c r="J146" s="6">
        <f>(F146/(1+'Autres hypothèses'!$D$5))*('Autres hypothèses'!$D$5/(((1+'Autres hypothèses'!$D$5)^'Conduite principale d''eau'!H146-1)))</f>
        <v>1097.338552180134</v>
      </c>
      <c r="K146" s="5">
        <v>1990</v>
      </c>
      <c r="L146" s="5">
        <f t="shared" si="12"/>
        <v>32</v>
      </c>
      <c r="M146" s="1">
        <f t="shared" si="13"/>
        <v>0.4</v>
      </c>
      <c r="N146" s="3">
        <f t="shared" si="14"/>
        <v>53940</v>
      </c>
      <c r="O146" s="3">
        <f t="shared" si="15"/>
        <v>80910</v>
      </c>
    </row>
    <row r="147" spans="1:15" x14ac:dyDescent="0.25">
      <c r="A147" s="4" t="s">
        <v>1115</v>
      </c>
      <c r="B147" s="5" t="s">
        <v>2407</v>
      </c>
      <c r="C147" s="5">
        <v>150</v>
      </c>
      <c r="D147" s="5">
        <v>87.899999999999991</v>
      </c>
      <c r="E147" s="7">
        <f>VLOOKUP(C147,'Taux unitaires'!B:C,2,FALSE)</f>
        <v>1400</v>
      </c>
      <c r="F147" s="6">
        <f t="shared" si="16"/>
        <v>123059.99999999999</v>
      </c>
      <c r="G147" s="5">
        <f>VLOOKUP(B147,'Durée de vie utile'!$C$8:$E$13,3,FALSE)</f>
        <v>100</v>
      </c>
      <c r="H147" s="5">
        <f>VLOOKUP(B147,'Durée de vie utile'!$C$8:$D$13,2,FALSE)</f>
        <v>70</v>
      </c>
      <c r="I147" s="6">
        <f t="shared" si="17"/>
        <v>1757.9999999999998</v>
      </c>
      <c r="J147" s="6">
        <f>(F147/(1+'Autres hypothèses'!$D$5))*('Autres hypothèses'!$D$5/(((1+'Autres hypothèses'!$D$5)^'Conduite principale d''eau'!H147-1)))</f>
        <v>1210.2306061513857</v>
      </c>
      <c r="K147" s="5">
        <v>1990</v>
      </c>
      <c r="L147" s="5">
        <f t="shared" si="12"/>
        <v>32</v>
      </c>
      <c r="M147" s="1">
        <f t="shared" si="13"/>
        <v>0.45714285714285713</v>
      </c>
      <c r="N147" s="3">
        <f t="shared" si="14"/>
        <v>56255.999999999993</v>
      </c>
      <c r="O147" s="3">
        <f t="shared" si="15"/>
        <v>66804</v>
      </c>
    </row>
    <row r="148" spans="1:15" x14ac:dyDescent="0.25">
      <c r="A148" s="4" t="s">
        <v>1116</v>
      </c>
      <c r="B148" s="5" t="s">
        <v>2408</v>
      </c>
      <c r="C148" s="5">
        <v>200</v>
      </c>
      <c r="D148" s="5">
        <v>78</v>
      </c>
      <c r="E148" s="7">
        <f>VLOOKUP(C148,'Taux unitaires'!B:C,2,FALSE)</f>
        <v>1450</v>
      </c>
      <c r="F148" s="6">
        <f t="shared" si="16"/>
        <v>113100</v>
      </c>
      <c r="G148" s="5">
        <f>VLOOKUP(B148,'Durée de vie utile'!$C$8:$E$13,3,FALSE)</f>
        <v>125</v>
      </c>
      <c r="H148" s="5">
        <f>VLOOKUP(B148,'Durée de vie utile'!$C$8:$D$13,2,FALSE)</f>
        <v>80</v>
      </c>
      <c r="I148" s="6">
        <f t="shared" si="17"/>
        <v>1413.75</v>
      </c>
      <c r="J148" s="6">
        <f>(F148/(1+'Autres hypothèses'!$D$5))*('Autres hypothèses'!$D$5/(((1+'Autres hypothèses'!$D$5)^'Conduite principale d''eau'!H148-1)))</f>
        <v>920.348463118822</v>
      </c>
      <c r="K148" s="5">
        <v>1990</v>
      </c>
      <c r="L148" s="5">
        <f t="shared" si="12"/>
        <v>32</v>
      </c>
      <c r="M148" s="1">
        <f t="shared" si="13"/>
        <v>0.4</v>
      </c>
      <c r="N148" s="3">
        <f t="shared" si="14"/>
        <v>45240</v>
      </c>
      <c r="O148" s="3">
        <f t="shared" si="15"/>
        <v>67860</v>
      </c>
    </row>
    <row r="149" spans="1:15" x14ac:dyDescent="0.25">
      <c r="A149" s="4" t="s">
        <v>1117</v>
      </c>
      <c r="B149" s="5" t="s">
        <v>2409</v>
      </c>
      <c r="C149" s="5">
        <v>150</v>
      </c>
      <c r="D149" s="5">
        <v>47.7</v>
      </c>
      <c r="E149" s="7">
        <f>VLOOKUP(C149,'Taux unitaires'!B:C,2,FALSE)</f>
        <v>1400</v>
      </c>
      <c r="F149" s="6">
        <f t="shared" si="16"/>
        <v>66780</v>
      </c>
      <c r="G149" s="5">
        <f>VLOOKUP(B149,'Durée de vie utile'!$C$8:$E$13,3,FALSE)</f>
        <v>100</v>
      </c>
      <c r="H149" s="5">
        <f>VLOOKUP(B149,'Durée de vie utile'!$C$8:$D$13,2,FALSE)</f>
        <v>70</v>
      </c>
      <c r="I149" s="6">
        <f t="shared" si="17"/>
        <v>954</v>
      </c>
      <c r="J149" s="6">
        <f>(F149/(1+'Autres hypothèses'!$D$5))*('Autres hypothèses'!$D$5/(((1+'Autres hypothèses'!$D$5)^'Conduite principale d''eau'!H149-1)))</f>
        <v>656.74630163163931</v>
      </c>
      <c r="K149" s="5">
        <v>1991</v>
      </c>
      <c r="L149" s="5">
        <f t="shared" si="12"/>
        <v>31</v>
      </c>
      <c r="M149" s="1">
        <f t="shared" si="13"/>
        <v>0.44285714285714284</v>
      </c>
      <c r="N149" s="3">
        <f t="shared" si="14"/>
        <v>29574</v>
      </c>
      <c r="O149" s="3">
        <f t="shared" si="15"/>
        <v>37206</v>
      </c>
    </row>
    <row r="150" spans="1:15" x14ac:dyDescent="0.25">
      <c r="A150" s="4" t="s">
        <v>1118</v>
      </c>
      <c r="B150" s="5" t="s">
        <v>2410</v>
      </c>
      <c r="C150" s="5">
        <v>150</v>
      </c>
      <c r="D150" s="5">
        <v>69.599999999999994</v>
      </c>
      <c r="E150" s="7">
        <f>VLOOKUP(C150,'Taux unitaires'!B:C,2,FALSE)</f>
        <v>1400</v>
      </c>
      <c r="F150" s="6">
        <f t="shared" si="16"/>
        <v>97439.999999999985</v>
      </c>
      <c r="G150" s="5">
        <f>VLOOKUP(B150,'Durée de vie utile'!$C$8:$E$13,3,FALSE)</f>
        <v>100</v>
      </c>
      <c r="H150" s="5">
        <f>VLOOKUP(B150,'Durée de vie utile'!$C$8:$D$13,2,FALSE)</f>
        <v>70</v>
      </c>
      <c r="I150" s="6">
        <f t="shared" si="17"/>
        <v>1391.9999999999998</v>
      </c>
      <c r="J150" s="6">
        <f>(F150/(1+'Autres hypothèses'!$D$5))*('Autres hypothèses'!$D$5/(((1+'Autres hypothèses'!$D$5)^'Conduite principale d''eau'!H150-1)))</f>
        <v>958.27133319836662</v>
      </c>
      <c r="K150" s="5">
        <v>1991</v>
      </c>
      <c r="L150" s="5">
        <f t="shared" si="12"/>
        <v>31</v>
      </c>
      <c r="M150" s="1">
        <f t="shared" si="13"/>
        <v>0.44285714285714284</v>
      </c>
      <c r="N150" s="3">
        <f t="shared" si="14"/>
        <v>43151.999999999993</v>
      </c>
      <c r="O150" s="3">
        <f t="shared" si="15"/>
        <v>54287.999999999993</v>
      </c>
    </row>
    <row r="151" spans="1:15" x14ac:dyDescent="0.25">
      <c r="A151" s="4" t="s">
        <v>1119</v>
      </c>
      <c r="B151" s="5" t="s">
        <v>2411</v>
      </c>
      <c r="C151" s="5">
        <v>200</v>
      </c>
      <c r="D151" s="5">
        <v>91</v>
      </c>
      <c r="E151" s="7">
        <f>VLOOKUP(C151,'Taux unitaires'!B:C,2,FALSE)</f>
        <v>1450</v>
      </c>
      <c r="F151" s="6">
        <f t="shared" si="16"/>
        <v>131950</v>
      </c>
      <c r="G151" s="5">
        <f>VLOOKUP(B151,'Durée de vie utile'!$C$8:$E$13,3,FALSE)</f>
        <v>125</v>
      </c>
      <c r="H151" s="5">
        <f>VLOOKUP(B151,'Durée de vie utile'!$C$8:$D$13,2,FALSE)</f>
        <v>80</v>
      </c>
      <c r="I151" s="6">
        <f t="shared" si="17"/>
        <v>1649.375</v>
      </c>
      <c r="J151" s="6">
        <f>(F151/(1+'Autres hypothèses'!$D$5))*('Autres hypothèses'!$D$5/(((1+'Autres hypothèses'!$D$5)^'Conduite principale d''eau'!H151-1)))</f>
        <v>1073.7398736386258</v>
      </c>
      <c r="K151" s="5">
        <v>1991</v>
      </c>
      <c r="L151" s="5">
        <f t="shared" si="12"/>
        <v>31</v>
      </c>
      <c r="M151" s="1">
        <f t="shared" si="13"/>
        <v>0.38750000000000001</v>
      </c>
      <c r="N151" s="3">
        <f t="shared" si="14"/>
        <v>51130.625</v>
      </c>
      <c r="O151" s="3">
        <f t="shared" si="15"/>
        <v>80819.375</v>
      </c>
    </row>
    <row r="152" spans="1:15" x14ac:dyDescent="0.25">
      <c r="A152" s="4" t="s">
        <v>1120</v>
      </c>
      <c r="B152" s="5" t="s">
        <v>2412</v>
      </c>
      <c r="C152" s="5">
        <v>200</v>
      </c>
      <c r="D152" s="5">
        <v>87.3</v>
      </c>
      <c r="E152" s="7">
        <f>VLOOKUP(C152,'Taux unitaires'!B:C,2,FALSE)</f>
        <v>1450</v>
      </c>
      <c r="F152" s="6">
        <f t="shared" si="16"/>
        <v>126585</v>
      </c>
      <c r="G152" s="5">
        <f>VLOOKUP(B152,'Durée de vie utile'!$C$8:$E$13,3,FALSE)</f>
        <v>100</v>
      </c>
      <c r="H152" s="5">
        <f>VLOOKUP(B152,'Durée de vie utile'!$C$8:$D$13,2,FALSE)</f>
        <v>70</v>
      </c>
      <c r="I152" s="6">
        <f t="shared" si="17"/>
        <v>1808.3571428571429</v>
      </c>
      <c r="J152" s="6">
        <f>(F152/(1+'Autres hypothèses'!$D$5))*('Autres hypothèses'!$D$5/(((1+'Autres hypothèses'!$D$5)^'Conduite principale d''eau'!H152-1)))</f>
        <v>1244.8971337532355</v>
      </c>
      <c r="K152" s="5">
        <v>1991</v>
      </c>
      <c r="L152" s="5">
        <f t="shared" si="12"/>
        <v>31</v>
      </c>
      <c r="M152" s="1">
        <f t="shared" si="13"/>
        <v>0.44285714285714284</v>
      </c>
      <c r="N152" s="3">
        <f t="shared" si="14"/>
        <v>56059.071428571428</v>
      </c>
      <c r="O152" s="3">
        <f t="shared" si="15"/>
        <v>70525.92857142858</v>
      </c>
    </row>
    <row r="153" spans="1:15" x14ac:dyDescent="0.25">
      <c r="A153" s="4" t="s">
        <v>1121</v>
      </c>
      <c r="B153" s="5" t="s">
        <v>2413</v>
      </c>
      <c r="C153" s="5">
        <v>200</v>
      </c>
      <c r="D153" s="5">
        <v>95.6</v>
      </c>
      <c r="E153" s="7">
        <f>VLOOKUP(C153,'Taux unitaires'!B:C,2,FALSE)</f>
        <v>1450</v>
      </c>
      <c r="F153" s="6">
        <f t="shared" si="16"/>
        <v>138620</v>
      </c>
      <c r="G153" s="5">
        <f>VLOOKUP(B153,'Durée de vie utile'!$C$8:$E$13,3,FALSE)</f>
        <v>125</v>
      </c>
      <c r="H153" s="5">
        <f>VLOOKUP(B153,'Durée de vie utile'!$C$8:$D$13,2,FALSE)</f>
        <v>80</v>
      </c>
      <c r="I153" s="6">
        <f t="shared" si="17"/>
        <v>1732.75</v>
      </c>
      <c r="J153" s="6">
        <f>(F153/(1+'Autres hypothèses'!$D$5))*('Autres hypothèses'!$D$5/(((1+'Autres hypothèses'!$D$5)^'Conduite principale d''eau'!H153-1)))</f>
        <v>1128.0168342840946</v>
      </c>
      <c r="K153" s="5">
        <v>1991</v>
      </c>
      <c r="L153" s="5">
        <f t="shared" si="12"/>
        <v>31</v>
      </c>
      <c r="M153" s="1">
        <f t="shared" si="13"/>
        <v>0.38750000000000001</v>
      </c>
      <c r="N153" s="3">
        <f t="shared" si="14"/>
        <v>53715.25</v>
      </c>
      <c r="O153" s="3">
        <f t="shared" si="15"/>
        <v>84904.75</v>
      </c>
    </row>
    <row r="154" spans="1:15" x14ac:dyDescent="0.25">
      <c r="A154" s="4" t="s">
        <v>1122</v>
      </c>
      <c r="B154" s="5" t="s">
        <v>2414</v>
      </c>
      <c r="C154" s="5">
        <v>200</v>
      </c>
      <c r="D154" s="5">
        <v>31.900000000000002</v>
      </c>
      <c r="E154" s="7">
        <f>VLOOKUP(C154,'Taux unitaires'!B:C,2,FALSE)</f>
        <v>1450</v>
      </c>
      <c r="F154" s="6">
        <f t="shared" si="16"/>
        <v>46255</v>
      </c>
      <c r="G154" s="5">
        <f>VLOOKUP(B154,'Durée de vie utile'!$C$8:$E$13,3,FALSE)</f>
        <v>100</v>
      </c>
      <c r="H154" s="5">
        <f>VLOOKUP(B154,'Durée de vie utile'!$C$8:$D$13,2,FALSE)</f>
        <v>70</v>
      </c>
      <c r="I154" s="6">
        <f t="shared" si="17"/>
        <v>660.78571428571433</v>
      </c>
      <c r="J154" s="6">
        <f>(F154/(1+'Autres hypothèses'!$D$5))*('Autres hypothèses'!$D$5/(((1+'Autres hypothèses'!$D$5)^'Conduite principale d''eau'!H154-1)))</f>
        <v>454.89368346767714</v>
      </c>
      <c r="K154" s="5">
        <v>1991</v>
      </c>
      <c r="L154" s="5">
        <f t="shared" si="12"/>
        <v>31</v>
      </c>
      <c r="M154" s="1">
        <f t="shared" si="13"/>
        <v>0.44285714285714284</v>
      </c>
      <c r="N154" s="3">
        <f t="shared" si="14"/>
        <v>20484.357142857141</v>
      </c>
      <c r="O154" s="3">
        <f t="shared" si="15"/>
        <v>25770.642857142859</v>
      </c>
    </row>
    <row r="155" spans="1:15" x14ac:dyDescent="0.25">
      <c r="A155" s="4" t="s">
        <v>1123</v>
      </c>
      <c r="B155" s="5" t="s">
        <v>2415</v>
      </c>
      <c r="C155" s="5">
        <v>200</v>
      </c>
      <c r="D155" s="5">
        <v>83.399999999999991</v>
      </c>
      <c r="E155" s="7">
        <f>VLOOKUP(C155,'Taux unitaires'!B:C,2,FALSE)</f>
        <v>1450</v>
      </c>
      <c r="F155" s="6">
        <f t="shared" si="16"/>
        <v>120929.99999999999</v>
      </c>
      <c r="G155" s="5">
        <f>VLOOKUP(B155,'Durée de vie utile'!$C$8:$E$13,3,FALSE)</f>
        <v>125</v>
      </c>
      <c r="H155" s="5">
        <f>VLOOKUP(B155,'Durée de vie utile'!$C$8:$D$13,2,FALSE)</f>
        <v>80</v>
      </c>
      <c r="I155" s="6">
        <f t="shared" si="17"/>
        <v>1511.6249999999998</v>
      </c>
      <c r="J155" s="6">
        <f>(F155/(1+'Autres hypothèses'!$D$5))*('Autres hypothèses'!$D$5/(((1+'Autres hypothèses'!$D$5)^'Conduite principale d''eau'!H155-1)))</f>
        <v>984.06489518089415</v>
      </c>
      <c r="K155" s="5">
        <v>1991</v>
      </c>
      <c r="L155" s="5">
        <f t="shared" si="12"/>
        <v>31</v>
      </c>
      <c r="M155" s="1">
        <f t="shared" si="13"/>
        <v>0.38750000000000001</v>
      </c>
      <c r="N155" s="3">
        <f t="shared" si="14"/>
        <v>46860.374999999993</v>
      </c>
      <c r="O155" s="3">
        <f t="shared" si="15"/>
        <v>74069.625</v>
      </c>
    </row>
    <row r="156" spans="1:15" x14ac:dyDescent="0.25">
      <c r="A156" s="4" t="s">
        <v>1124</v>
      </c>
      <c r="B156" s="5" t="s">
        <v>2416</v>
      </c>
      <c r="C156" s="5">
        <v>150</v>
      </c>
      <c r="D156" s="5">
        <v>49.4</v>
      </c>
      <c r="E156" s="7">
        <f>VLOOKUP(C156,'Taux unitaires'!B:C,2,FALSE)</f>
        <v>1400</v>
      </c>
      <c r="F156" s="6">
        <f t="shared" si="16"/>
        <v>69160</v>
      </c>
      <c r="G156" s="5">
        <f>VLOOKUP(B156,'Durée de vie utile'!$C$8:$E$13,3,FALSE)</f>
        <v>125</v>
      </c>
      <c r="H156" s="5">
        <f>VLOOKUP(B156,'Durée de vie utile'!$C$8:$D$13,2,FALSE)</f>
        <v>80</v>
      </c>
      <c r="I156" s="6">
        <f t="shared" si="17"/>
        <v>864.5</v>
      </c>
      <c r="J156" s="6">
        <f>(F156/(1+'Autres hypothèses'!$D$5))*('Autres hypothèses'!$D$5/(((1+'Autres hypothèses'!$D$5)^'Conduite principale d''eau'!H156-1)))</f>
        <v>562.78779583817618</v>
      </c>
      <c r="K156" s="5">
        <v>1991</v>
      </c>
      <c r="L156" s="5">
        <f t="shared" si="12"/>
        <v>31</v>
      </c>
      <c r="M156" s="1">
        <f t="shared" si="13"/>
        <v>0.38750000000000001</v>
      </c>
      <c r="N156" s="3">
        <f t="shared" si="14"/>
        <v>26799.5</v>
      </c>
      <c r="O156" s="3">
        <f t="shared" si="15"/>
        <v>42360.5</v>
      </c>
    </row>
    <row r="157" spans="1:15" x14ac:dyDescent="0.25">
      <c r="A157" s="4" t="s">
        <v>1125</v>
      </c>
      <c r="B157" s="5" t="s">
        <v>2417</v>
      </c>
      <c r="C157" s="5">
        <v>200</v>
      </c>
      <c r="D157" s="5">
        <v>91.699999999999989</v>
      </c>
      <c r="E157" s="7">
        <f>VLOOKUP(C157,'Taux unitaires'!B:C,2,FALSE)</f>
        <v>1450</v>
      </c>
      <c r="F157" s="6">
        <f t="shared" si="16"/>
        <v>132964.99999999997</v>
      </c>
      <c r="G157" s="5">
        <f>VLOOKUP(B157,'Durée de vie utile'!$C$8:$E$13,3,FALSE)</f>
        <v>100</v>
      </c>
      <c r="H157" s="5">
        <f>VLOOKUP(B157,'Durée de vie utile'!$C$8:$D$13,2,FALSE)</f>
        <v>70</v>
      </c>
      <c r="I157" s="6">
        <f t="shared" si="17"/>
        <v>1899.4999999999995</v>
      </c>
      <c r="J157" s="6">
        <f>(F157/(1+'Autres hypothèses'!$D$5))*('Autres hypothèses'!$D$5/(((1+'Autres hypothèses'!$D$5)^'Conduite principale d''eau'!H157-1)))</f>
        <v>1307.6410900936044</v>
      </c>
      <c r="K157" s="5">
        <v>1992</v>
      </c>
      <c r="L157" s="5">
        <f t="shared" si="12"/>
        <v>30</v>
      </c>
      <c r="M157" s="1">
        <f t="shared" si="13"/>
        <v>0.42857142857142855</v>
      </c>
      <c r="N157" s="3">
        <f t="shared" si="14"/>
        <v>56984.999999999985</v>
      </c>
      <c r="O157" s="3">
        <f t="shared" si="15"/>
        <v>75979.999999999985</v>
      </c>
    </row>
    <row r="158" spans="1:15" x14ac:dyDescent="0.25">
      <c r="A158" s="4" t="s">
        <v>1126</v>
      </c>
      <c r="B158" s="5" t="s">
        <v>2418</v>
      </c>
      <c r="C158" s="5">
        <v>300</v>
      </c>
      <c r="D158" s="5">
        <v>86</v>
      </c>
      <c r="E158" s="7">
        <f>VLOOKUP(C158,'Taux unitaires'!B:C,2,FALSE)</f>
        <v>1600</v>
      </c>
      <c r="F158" s="6">
        <f t="shared" si="16"/>
        <v>137600</v>
      </c>
      <c r="G158" s="5">
        <f>VLOOKUP(B158,'Durée de vie utile'!$C$8:$E$13,3,FALSE)</f>
        <v>100</v>
      </c>
      <c r="H158" s="5">
        <f>VLOOKUP(B158,'Durée de vie utile'!$C$8:$D$13,2,FALSE)</f>
        <v>70</v>
      </c>
      <c r="I158" s="6">
        <f t="shared" si="17"/>
        <v>1965.7142857142858</v>
      </c>
      <c r="J158" s="6">
        <f>(F158/(1+'Autres hypothèses'!$D$5))*('Autres hypothèses'!$D$5/(((1+'Autres hypothèses'!$D$5)^'Conduite principale d''eau'!H158-1)))</f>
        <v>1353.2238859615688</v>
      </c>
      <c r="K158" s="5">
        <v>1992</v>
      </c>
      <c r="L158" s="5">
        <f t="shared" si="12"/>
        <v>30</v>
      </c>
      <c r="M158" s="1">
        <f t="shared" si="13"/>
        <v>0.42857142857142855</v>
      </c>
      <c r="N158" s="3">
        <f t="shared" si="14"/>
        <v>58971.428571428565</v>
      </c>
      <c r="O158" s="3">
        <f t="shared" si="15"/>
        <v>78628.571428571435</v>
      </c>
    </row>
    <row r="159" spans="1:15" x14ac:dyDescent="0.25">
      <c r="A159" s="4" t="s">
        <v>1127</v>
      </c>
      <c r="B159" s="5" t="s">
        <v>2419</v>
      </c>
      <c r="C159" s="5">
        <v>200</v>
      </c>
      <c r="D159" s="5">
        <v>23.900000000000002</v>
      </c>
      <c r="E159" s="7">
        <f>VLOOKUP(C159,'Taux unitaires'!B:C,2,FALSE)</f>
        <v>1450</v>
      </c>
      <c r="F159" s="6">
        <f t="shared" si="16"/>
        <v>34655</v>
      </c>
      <c r="G159" s="5">
        <f>VLOOKUP(B159,'Durée de vie utile'!$C$8:$E$13,3,FALSE)</f>
        <v>125</v>
      </c>
      <c r="H159" s="5">
        <f>VLOOKUP(B159,'Durée de vie utile'!$C$8:$D$13,2,FALSE)</f>
        <v>80</v>
      </c>
      <c r="I159" s="6">
        <f t="shared" si="17"/>
        <v>433.1875</v>
      </c>
      <c r="J159" s="6">
        <f>(F159/(1+'Autres hypothèses'!$D$5))*('Autres hypothèses'!$D$5/(((1+'Autres hypothèses'!$D$5)^'Conduite principale d''eau'!H159-1)))</f>
        <v>282.00420857102364</v>
      </c>
      <c r="K159" s="5">
        <v>1992</v>
      </c>
      <c r="L159" s="5">
        <f t="shared" si="12"/>
        <v>30</v>
      </c>
      <c r="M159" s="1">
        <f t="shared" si="13"/>
        <v>0.375</v>
      </c>
      <c r="N159" s="3">
        <f t="shared" si="14"/>
        <v>12995.625</v>
      </c>
      <c r="O159" s="3">
        <f t="shared" si="15"/>
        <v>21659.375</v>
      </c>
    </row>
    <row r="160" spans="1:15" x14ac:dyDescent="0.25">
      <c r="A160" s="4" t="s">
        <v>1128</v>
      </c>
      <c r="B160" s="5" t="s">
        <v>2420</v>
      </c>
      <c r="C160" s="5">
        <v>150</v>
      </c>
      <c r="D160" s="5">
        <v>90.199999999999989</v>
      </c>
      <c r="E160" s="7">
        <f>VLOOKUP(C160,'Taux unitaires'!B:C,2,FALSE)</f>
        <v>1400</v>
      </c>
      <c r="F160" s="6">
        <f t="shared" si="16"/>
        <v>126279.99999999999</v>
      </c>
      <c r="G160" s="5">
        <f>VLOOKUP(B160,'Durée de vie utile'!$C$8:$E$13,3,FALSE)</f>
        <v>100</v>
      </c>
      <c r="H160" s="5">
        <f>VLOOKUP(B160,'Durée de vie utile'!$C$8:$D$13,2,FALSE)</f>
        <v>70</v>
      </c>
      <c r="I160" s="6">
        <f t="shared" si="17"/>
        <v>1803.9999999999998</v>
      </c>
      <c r="J160" s="6">
        <f>(F160/(1+'Autres hypothèses'!$D$5))*('Autres hypothèses'!$D$5/(((1+'Autres hypothèses'!$D$5)^'Conduite principale d''eau'!H160-1)))</f>
        <v>1241.8976185990327</v>
      </c>
      <c r="K160" s="5">
        <v>1992</v>
      </c>
      <c r="L160" s="5">
        <f t="shared" si="12"/>
        <v>30</v>
      </c>
      <c r="M160" s="1">
        <f t="shared" si="13"/>
        <v>0.42857142857142855</v>
      </c>
      <c r="N160" s="3">
        <f t="shared" si="14"/>
        <v>54119.999999999993</v>
      </c>
      <c r="O160" s="3">
        <f t="shared" si="15"/>
        <v>72160</v>
      </c>
    </row>
    <row r="161" spans="1:15" x14ac:dyDescent="0.25">
      <c r="A161" s="4" t="s">
        <v>1129</v>
      </c>
      <c r="B161" s="5" t="s">
        <v>2421</v>
      </c>
      <c r="C161" s="5">
        <v>200</v>
      </c>
      <c r="D161" s="5">
        <v>83.199999999999989</v>
      </c>
      <c r="E161" s="7">
        <f>VLOOKUP(C161,'Taux unitaires'!B:C,2,FALSE)</f>
        <v>1450</v>
      </c>
      <c r="F161" s="6">
        <f t="shared" si="16"/>
        <v>120639.99999999999</v>
      </c>
      <c r="G161" s="5">
        <f>VLOOKUP(B161,'Durée de vie utile'!$C$8:$E$13,3,FALSE)</f>
        <v>125</v>
      </c>
      <c r="H161" s="5">
        <f>VLOOKUP(B161,'Durée de vie utile'!$C$8:$D$13,2,FALSE)</f>
        <v>80</v>
      </c>
      <c r="I161" s="6">
        <f t="shared" si="17"/>
        <v>1507.9999999999998</v>
      </c>
      <c r="J161" s="6">
        <f>(F161/(1+'Autres hypothèses'!$D$5))*('Autres hypothèses'!$D$5/(((1+'Autres hypothèses'!$D$5)^'Conduite principale d''eau'!H161-1)))</f>
        <v>981.70502732674333</v>
      </c>
      <c r="K161" s="5">
        <v>1992</v>
      </c>
      <c r="L161" s="5">
        <f t="shared" si="12"/>
        <v>30</v>
      </c>
      <c r="M161" s="1">
        <f t="shared" si="13"/>
        <v>0.375</v>
      </c>
      <c r="N161" s="3">
        <f t="shared" si="14"/>
        <v>45239.999999999993</v>
      </c>
      <c r="O161" s="3">
        <f t="shared" si="15"/>
        <v>75400</v>
      </c>
    </row>
    <row r="162" spans="1:15" x14ac:dyDescent="0.25">
      <c r="A162" s="4" t="s">
        <v>1130</v>
      </c>
      <c r="B162" s="5" t="s">
        <v>2422</v>
      </c>
      <c r="C162" s="5">
        <v>300</v>
      </c>
      <c r="D162" s="5">
        <v>56.1</v>
      </c>
      <c r="E162" s="7">
        <f>VLOOKUP(C162,'Taux unitaires'!B:C,2,FALSE)</f>
        <v>1600</v>
      </c>
      <c r="F162" s="6">
        <f t="shared" si="16"/>
        <v>89760</v>
      </c>
      <c r="G162" s="5">
        <f>VLOOKUP(B162,'Durée de vie utile'!$C$8:$E$13,3,FALSE)</f>
        <v>100</v>
      </c>
      <c r="H162" s="5">
        <f>VLOOKUP(B162,'Durée de vie utile'!$C$8:$D$13,2,FALSE)</f>
        <v>70</v>
      </c>
      <c r="I162" s="6">
        <f t="shared" si="17"/>
        <v>1282.2857142857142</v>
      </c>
      <c r="J162" s="6">
        <f>(F162/(1+'Autres hypothèses'!$D$5))*('Autres hypothèses'!$D$5/(((1+'Autres hypothèses'!$D$5)^'Conduite principale d''eau'!H162-1)))</f>
        <v>882.74255816795369</v>
      </c>
      <c r="K162" s="5">
        <v>1992</v>
      </c>
      <c r="L162" s="5">
        <f t="shared" si="12"/>
        <v>30</v>
      </c>
      <c r="M162" s="1">
        <f t="shared" si="13"/>
        <v>0.42857142857142855</v>
      </c>
      <c r="N162" s="3">
        <f t="shared" si="14"/>
        <v>38468.571428571428</v>
      </c>
      <c r="O162" s="3">
        <f t="shared" si="15"/>
        <v>51291.428571428572</v>
      </c>
    </row>
    <row r="163" spans="1:15" x14ac:dyDescent="0.25">
      <c r="A163" s="4" t="s">
        <v>1131</v>
      </c>
      <c r="B163" s="5" t="s">
        <v>2423</v>
      </c>
      <c r="C163" s="5">
        <v>200</v>
      </c>
      <c r="D163" s="5">
        <v>2.1</v>
      </c>
      <c r="E163" s="7">
        <f>VLOOKUP(C163,'Taux unitaires'!B:C,2,FALSE)</f>
        <v>1450</v>
      </c>
      <c r="F163" s="6">
        <f t="shared" si="16"/>
        <v>3045</v>
      </c>
      <c r="G163" s="5">
        <f>VLOOKUP(B163,'Durée de vie utile'!$C$8:$E$13,3,FALSE)</f>
        <v>100</v>
      </c>
      <c r="H163" s="5">
        <f>VLOOKUP(B163,'Durée de vie utile'!$C$8:$D$13,2,FALSE)</f>
        <v>70</v>
      </c>
      <c r="I163" s="6">
        <f t="shared" si="17"/>
        <v>43.5</v>
      </c>
      <c r="J163" s="6">
        <f>(F163/(1+'Autres hypothèses'!$D$5))*('Autres hypothèses'!$D$5/(((1+'Autres hypothèses'!$D$5)^'Conduite principale d''eau'!H163-1)))</f>
        <v>29.945979162448964</v>
      </c>
      <c r="K163" s="5">
        <v>1992</v>
      </c>
      <c r="L163" s="5">
        <f t="shared" si="12"/>
        <v>30</v>
      </c>
      <c r="M163" s="1">
        <f t="shared" si="13"/>
        <v>0.42857142857142855</v>
      </c>
      <c r="N163" s="3">
        <f t="shared" si="14"/>
        <v>1305</v>
      </c>
      <c r="O163" s="3">
        <f t="shared" si="15"/>
        <v>1740</v>
      </c>
    </row>
    <row r="164" spans="1:15" x14ac:dyDescent="0.25">
      <c r="A164" s="4" t="s">
        <v>1132</v>
      </c>
      <c r="B164" s="5" t="s">
        <v>2424</v>
      </c>
      <c r="C164" s="5">
        <v>200</v>
      </c>
      <c r="D164" s="5">
        <v>42.7</v>
      </c>
      <c r="E164" s="7">
        <f>VLOOKUP(C164,'Taux unitaires'!B:C,2,FALSE)</f>
        <v>1450</v>
      </c>
      <c r="F164" s="6">
        <f t="shared" si="16"/>
        <v>61915.000000000007</v>
      </c>
      <c r="G164" s="5">
        <f>VLOOKUP(B164,'Durée de vie utile'!$C$8:$E$13,3,FALSE)</f>
        <v>100</v>
      </c>
      <c r="H164" s="5">
        <f>VLOOKUP(B164,'Durée de vie utile'!$C$8:$D$13,2,FALSE)</f>
        <v>70</v>
      </c>
      <c r="I164" s="6">
        <f t="shared" si="17"/>
        <v>884.50000000000011</v>
      </c>
      <c r="J164" s="6">
        <f>(F164/(1+'Autres hypothèses'!$D$5))*('Autres hypothèses'!$D$5/(((1+'Autres hypothèses'!$D$5)^'Conduite principale d''eau'!H164-1)))</f>
        <v>608.90157630312899</v>
      </c>
      <c r="K164" s="5">
        <v>1992</v>
      </c>
      <c r="L164" s="5">
        <f t="shared" si="12"/>
        <v>30</v>
      </c>
      <c r="M164" s="1">
        <f t="shared" si="13"/>
        <v>0.42857142857142855</v>
      </c>
      <c r="N164" s="3">
        <f t="shared" si="14"/>
        <v>26535</v>
      </c>
      <c r="O164" s="3">
        <f t="shared" si="15"/>
        <v>35380.000000000007</v>
      </c>
    </row>
    <row r="165" spans="1:15" x14ac:dyDescent="0.25">
      <c r="A165" s="4" t="s">
        <v>1133</v>
      </c>
      <c r="B165" s="5" t="s">
        <v>2425</v>
      </c>
      <c r="C165" s="5">
        <v>200</v>
      </c>
      <c r="D165" s="5">
        <v>81.399999999999991</v>
      </c>
      <c r="E165" s="7">
        <f>VLOOKUP(C165,'Taux unitaires'!B:C,2,FALSE)</f>
        <v>1450</v>
      </c>
      <c r="F165" s="6">
        <f t="shared" si="16"/>
        <v>118029.99999999999</v>
      </c>
      <c r="G165" s="5">
        <f>VLOOKUP(B165,'Durée de vie utile'!$C$8:$E$13,3,FALSE)</f>
        <v>100</v>
      </c>
      <c r="H165" s="5">
        <f>VLOOKUP(B165,'Durée de vie utile'!$C$8:$D$13,2,FALSE)</f>
        <v>70</v>
      </c>
      <c r="I165" s="6">
        <f t="shared" si="17"/>
        <v>1686.1428571428569</v>
      </c>
      <c r="J165" s="6">
        <f>(F165/(1+'Autres hypothèses'!$D$5))*('Autres hypothèses'!$D$5/(((1+'Autres hypothèses'!$D$5)^'Conduite principale d''eau'!H165-1)))</f>
        <v>1160.7631922968312</v>
      </c>
      <c r="K165" s="5">
        <v>1992</v>
      </c>
      <c r="L165" s="5">
        <f t="shared" si="12"/>
        <v>30</v>
      </c>
      <c r="M165" s="1">
        <f t="shared" si="13"/>
        <v>0.42857142857142855</v>
      </c>
      <c r="N165" s="3">
        <f t="shared" si="14"/>
        <v>50584.285714285703</v>
      </c>
      <c r="O165" s="3">
        <f t="shared" si="15"/>
        <v>67445.71428571429</v>
      </c>
    </row>
    <row r="166" spans="1:15" x14ac:dyDescent="0.25">
      <c r="A166" s="4" t="s">
        <v>1134</v>
      </c>
      <c r="B166" s="5" t="s">
        <v>2426</v>
      </c>
      <c r="C166" s="5">
        <v>200</v>
      </c>
      <c r="D166" s="5">
        <v>82.399999999999991</v>
      </c>
      <c r="E166" s="7">
        <f>VLOOKUP(C166,'Taux unitaires'!B:C,2,FALSE)</f>
        <v>1450</v>
      </c>
      <c r="F166" s="6">
        <f t="shared" si="16"/>
        <v>119479.99999999999</v>
      </c>
      <c r="G166" s="5">
        <f>VLOOKUP(B166,'Durée de vie utile'!$C$8:$E$13,3,FALSE)</f>
        <v>125</v>
      </c>
      <c r="H166" s="5">
        <f>VLOOKUP(B166,'Durée de vie utile'!$C$8:$D$13,2,FALSE)</f>
        <v>80</v>
      </c>
      <c r="I166" s="6">
        <f t="shared" si="17"/>
        <v>1493.4999999999998</v>
      </c>
      <c r="J166" s="6">
        <f>(F166/(1+'Autres hypothèses'!$D$5))*('Autres hypothèses'!$D$5/(((1+'Autres hypothèses'!$D$5)^'Conduite principale d''eau'!H166-1)))</f>
        <v>972.26555591014005</v>
      </c>
      <c r="K166" s="5">
        <v>1993</v>
      </c>
      <c r="L166" s="5">
        <f t="shared" si="12"/>
        <v>29</v>
      </c>
      <c r="M166" s="1">
        <f t="shared" si="13"/>
        <v>0.36249999999999999</v>
      </c>
      <c r="N166" s="3">
        <f t="shared" si="14"/>
        <v>43311.499999999993</v>
      </c>
      <c r="O166" s="3">
        <f t="shared" si="15"/>
        <v>76168.5</v>
      </c>
    </row>
    <row r="167" spans="1:15" x14ac:dyDescent="0.25">
      <c r="A167" s="4" t="s">
        <v>1135</v>
      </c>
      <c r="B167" s="5" t="s">
        <v>2427</v>
      </c>
      <c r="C167" s="5">
        <v>150</v>
      </c>
      <c r="D167" s="5">
        <v>5.6999999999999993</v>
      </c>
      <c r="E167" s="7">
        <f>VLOOKUP(C167,'Taux unitaires'!B:C,2,FALSE)</f>
        <v>1400</v>
      </c>
      <c r="F167" s="6">
        <f t="shared" si="16"/>
        <v>7979.9999999999991</v>
      </c>
      <c r="G167" s="5">
        <f>VLOOKUP(B167,'Durée de vie utile'!$C$8:$E$13,3,FALSE)</f>
        <v>125</v>
      </c>
      <c r="H167" s="5">
        <f>VLOOKUP(B167,'Durée de vie utile'!$C$8:$D$13,2,FALSE)</f>
        <v>80</v>
      </c>
      <c r="I167" s="6">
        <f t="shared" si="17"/>
        <v>99.749999999999986</v>
      </c>
      <c r="J167" s="6">
        <f>(F167/(1+'Autres hypothèses'!$D$5))*('Autres hypothèses'!$D$5/(((1+'Autres hypothèses'!$D$5)^'Conduite principale d''eau'!H167-1)))</f>
        <v>64.937053365943413</v>
      </c>
      <c r="K167" s="5">
        <v>1993</v>
      </c>
      <c r="L167" s="5">
        <f t="shared" si="12"/>
        <v>29</v>
      </c>
      <c r="M167" s="1">
        <f t="shared" si="13"/>
        <v>0.36249999999999999</v>
      </c>
      <c r="N167" s="3">
        <f t="shared" si="14"/>
        <v>2892.7499999999995</v>
      </c>
      <c r="O167" s="3">
        <f t="shared" si="15"/>
        <v>5087.25</v>
      </c>
    </row>
    <row r="168" spans="1:15" x14ac:dyDescent="0.25">
      <c r="A168" s="4" t="s">
        <v>1136</v>
      </c>
      <c r="B168" s="5" t="s">
        <v>2428</v>
      </c>
      <c r="C168" s="5">
        <v>150</v>
      </c>
      <c r="D168" s="5">
        <v>19</v>
      </c>
      <c r="E168" s="7">
        <f>VLOOKUP(C168,'Taux unitaires'!B:C,2,FALSE)</f>
        <v>1400</v>
      </c>
      <c r="F168" s="6">
        <f t="shared" si="16"/>
        <v>26600</v>
      </c>
      <c r="G168" s="5">
        <f>VLOOKUP(B168,'Durée de vie utile'!$C$8:$E$13,3,FALSE)</f>
        <v>100</v>
      </c>
      <c r="H168" s="5">
        <f>VLOOKUP(B168,'Durée de vie utile'!$C$8:$D$13,2,FALSE)</f>
        <v>70</v>
      </c>
      <c r="I168" s="6">
        <f t="shared" si="17"/>
        <v>380</v>
      </c>
      <c r="J168" s="6">
        <f>(F168/(1+'Autres hypothèses'!$D$5))*('Autres hypothèses'!$D$5/(((1+'Autres hypothèses'!$D$5)^'Conduite principale d''eau'!H168-1)))</f>
        <v>261.59705935012892</v>
      </c>
      <c r="K168" s="5">
        <v>1993</v>
      </c>
      <c r="L168" s="5">
        <f t="shared" si="12"/>
        <v>29</v>
      </c>
      <c r="M168" s="1">
        <f t="shared" si="13"/>
        <v>0.41428571428571431</v>
      </c>
      <c r="N168" s="3">
        <f t="shared" si="14"/>
        <v>11020</v>
      </c>
      <c r="O168" s="3">
        <f t="shared" si="15"/>
        <v>15580</v>
      </c>
    </row>
    <row r="169" spans="1:15" x14ac:dyDescent="0.25">
      <c r="A169" s="4" t="s">
        <v>1137</v>
      </c>
      <c r="B169" s="5" t="s">
        <v>2429</v>
      </c>
      <c r="C169" s="5">
        <v>200</v>
      </c>
      <c r="D169" s="5">
        <v>48.300000000000004</v>
      </c>
      <c r="E169" s="7">
        <f>VLOOKUP(C169,'Taux unitaires'!B:C,2,FALSE)</f>
        <v>1450</v>
      </c>
      <c r="F169" s="6">
        <f t="shared" si="16"/>
        <v>70035</v>
      </c>
      <c r="G169" s="5">
        <f>VLOOKUP(B169,'Durée de vie utile'!$C$8:$E$13,3,FALSE)</f>
        <v>125</v>
      </c>
      <c r="H169" s="5">
        <f>VLOOKUP(B169,'Durée de vie utile'!$C$8:$D$13,2,FALSE)</f>
        <v>80</v>
      </c>
      <c r="I169" s="6">
        <f t="shared" si="17"/>
        <v>875.4375</v>
      </c>
      <c r="J169" s="6">
        <f>(F169/(1+'Autres hypothèses'!$D$5))*('Autres hypothèses'!$D$5/(((1+'Autres hypothèses'!$D$5)^'Conduite principale d''eau'!H169-1)))</f>
        <v>569.9080867774245</v>
      </c>
      <c r="K169" s="5">
        <v>1993</v>
      </c>
      <c r="L169" s="5">
        <f t="shared" si="12"/>
        <v>29</v>
      </c>
      <c r="M169" s="1">
        <f t="shared" si="13"/>
        <v>0.36249999999999999</v>
      </c>
      <c r="N169" s="3">
        <f t="shared" si="14"/>
        <v>25387.6875</v>
      </c>
      <c r="O169" s="3">
        <f t="shared" si="15"/>
        <v>44647.3125</v>
      </c>
    </row>
    <row r="170" spans="1:15" x14ac:dyDescent="0.25">
      <c r="A170" s="4" t="s">
        <v>1138</v>
      </c>
      <c r="B170" s="5" t="s">
        <v>2430</v>
      </c>
      <c r="C170" s="5">
        <v>150</v>
      </c>
      <c r="D170" s="5">
        <v>34.700000000000003</v>
      </c>
      <c r="E170" s="7">
        <f>VLOOKUP(C170,'Taux unitaires'!B:C,2,FALSE)</f>
        <v>1400</v>
      </c>
      <c r="F170" s="6">
        <f t="shared" si="16"/>
        <v>48580.000000000007</v>
      </c>
      <c r="G170" s="5">
        <f>VLOOKUP(B170,'Durée de vie utile'!$C$8:$E$13,3,FALSE)</f>
        <v>100</v>
      </c>
      <c r="H170" s="5">
        <f>VLOOKUP(B170,'Durée de vie utile'!$C$8:$D$13,2,FALSE)</f>
        <v>70</v>
      </c>
      <c r="I170" s="6">
        <f t="shared" si="17"/>
        <v>694.00000000000011</v>
      </c>
      <c r="J170" s="6">
        <f>(F170/(1+'Autres hypothèses'!$D$5))*('Autres hypothèses'!$D$5/(((1+'Autres hypothèses'!$D$5)^'Conduite principale d''eau'!H170-1)))</f>
        <v>477.75883997102488</v>
      </c>
      <c r="K170" s="5">
        <v>1993</v>
      </c>
      <c r="L170" s="5">
        <f t="shared" si="12"/>
        <v>29</v>
      </c>
      <c r="M170" s="1">
        <f t="shared" si="13"/>
        <v>0.41428571428571431</v>
      </c>
      <c r="N170" s="3">
        <f t="shared" si="14"/>
        <v>20126.000000000004</v>
      </c>
      <c r="O170" s="3">
        <f t="shared" si="15"/>
        <v>28454.000000000004</v>
      </c>
    </row>
    <row r="171" spans="1:15" x14ac:dyDescent="0.25">
      <c r="A171" s="4" t="s">
        <v>1139</v>
      </c>
      <c r="B171" s="5" t="s">
        <v>2431</v>
      </c>
      <c r="C171" s="5">
        <v>200</v>
      </c>
      <c r="D171" s="5">
        <v>41.7</v>
      </c>
      <c r="E171" s="7">
        <f>VLOOKUP(C171,'Taux unitaires'!B:C,2,FALSE)</f>
        <v>1450</v>
      </c>
      <c r="F171" s="6">
        <f t="shared" si="16"/>
        <v>60465.000000000007</v>
      </c>
      <c r="G171" s="5">
        <f>VLOOKUP(B171,'Durée de vie utile'!$C$8:$E$13,3,FALSE)</f>
        <v>125</v>
      </c>
      <c r="H171" s="5">
        <f>VLOOKUP(B171,'Durée de vie utile'!$C$8:$D$13,2,FALSE)</f>
        <v>80</v>
      </c>
      <c r="I171" s="6">
        <f t="shared" si="17"/>
        <v>755.81250000000011</v>
      </c>
      <c r="J171" s="6">
        <f>(F171/(1+'Autres hypothèses'!$D$5))*('Autres hypothèses'!$D$5/(((1+'Autres hypothèses'!$D$5)^'Conduite principale d''eau'!H171-1)))</f>
        <v>492.03244759044719</v>
      </c>
      <c r="K171" s="5">
        <v>1993</v>
      </c>
      <c r="L171" s="5">
        <f t="shared" si="12"/>
        <v>29</v>
      </c>
      <c r="M171" s="1">
        <f t="shared" si="13"/>
        <v>0.36249999999999999</v>
      </c>
      <c r="N171" s="3">
        <f t="shared" si="14"/>
        <v>21918.562500000004</v>
      </c>
      <c r="O171" s="3">
        <f t="shared" si="15"/>
        <v>38546.4375</v>
      </c>
    </row>
    <row r="172" spans="1:15" x14ac:dyDescent="0.25">
      <c r="A172" s="4" t="s">
        <v>1140</v>
      </c>
      <c r="B172" s="5" t="s">
        <v>2432</v>
      </c>
      <c r="C172" s="5">
        <v>200</v>
      </c>
      <c r="D172" s="5">
        <v>22.900000000000002</v>
      </c>
      <c r="E172" s="7">
        <f>VLOOKUP(C172,'Taux unitaires'!B:C,2,FALSE)</f>
        <v>1450</v>
      </c>
      <c r="F172" s="6">
        <f t="shared" si="16"/>
        <v>33205</v>
      </c>
      <c r="G172" s="5">
        <f>VLOOKUP(B172,'Durée de vie utile'!$C$8:$E$13,3,FALSE)</f>
        <v>100</v>
      </c>
      <c r="H172" s="5">
        <f>VLOOKUP(B172,'Durée de vie utile'!$C$8:$D$13,2,FALSE)</f>
        <v>70</v>
      </c>
      <c r="I172" s="6">
        <f t="shared" si="17"/>
        <v>474.35714285714283</v>
      </c>
      <c r="J172" s="6">
        <f>(F172/(1+'Autres hypothèses'!$D$5))*('Autres hypothèses'!$D$5/(((1+'Autres hypothèses'!$D$5)^'Conduite principale d''eau'!H172-1)))</f>
        <v>326.55377277146727</v>
      </c>
      <c r="K172" s="5">
        <v>1993</v>
      </c>
      <c r="L172" s="5">
        <f t="shared" si="12"/>
        <v>29</v>
      </c>
      <c r="M172" s="1">
        <f t="shared" si="13"/>
        <v>0.41428571428571431</v>
      </c>
      <c r="N172" s="3">
        <f t="shared" si="14"/>
        <v>13756.357142857143</v>
      </c>
      <c r="O172" s="3">
        <f t="shared" si="15"/>
        <v>19448.642857142855</v>
      </c>
    </row>
    <row r="173" spans="1:15" x14ac:dyDescent="0.25">
      <c r="A173" s="4" t="s">
        <v>1141</v>
      </c>
      <c r="B173" s="5" t="s">
        <v>2433</v>
      </c>
      <c r="C173" s="5">
        <v>200</v>
      </c>
      <c r="D173" s="5">
        <v>69.699999999999989</v>
      </c>
      <c r="E173" s="7">
        <f>VLOOKUP(C173,'Taux unitaires'!B:C,2,FALSE)</f>
        <v>1450</v>
      </c>
      <c r="F173" s="6">
        <f t="shared" si="16"/>
        <v>101064.99999999999</v>
      </c>
      <c r="G173" s="5">
        <f>VLOOKUP(B173,'Durée de vie utile'!$C$8:$E$13,3,FALSE)</f>
        <v>125</v>
      </c>
      <c r="H173" s="5">
        <f>VLOOKUP(B173,'Durée de vie utile'!$C$8:$D$13,2,FALSE)</f>
        <v>80</v>
      </c>
      <c r="I173" s="6">
        <f t="shared" si="17"/>
        <v>1263.3124999999998</v>
      </c>
      <c r="J173" s="6">
        <f>(F173/(1+'Autres hypothèses'!$D$5))*('Autres hypothèses'!$D$5/(((1+'Autres hypothèses'!$D$5)^'Conduite principale d''eau'!H173-1)))</f>
        <v>822.41394717156265</v>
      </c>
      <c r="K173" s="5">
        <v>1993</v>
      </c>
      <c r="L173" s="5">
        <f t="shared" si="12"/>
        <v>29</v>
      </c>
      <c r="M173" s="1">
        <f t="shared" si="13"/>
        <v>0.36249999999999999</v>
      </c>
      <c r="N173" s="3">
        <f t="shared" si="14"/>
        <v>36636.062499999993</v>
      </c>
      <c r="O173" s="3">
        <f t="shared" si="15"/>
        <v>64428.937499999993</v>
      </c>
    </row>
    <row r="174" spans="1:15" x14ac:dyDescent="0.25">
      <c r="A174" s="4" t="s">
        <v>1142</v>
      </c>
      <c r="B174" s="5" t="s">
        <v>2434</v>
      </c>
      <c r="C174" s="5">
        <v>150</v>
      </c>
      <c r="D174" s="5">
        <v>36</v>
      </c>
      <c r="E174" s="7">
        <f>VLOOKUP(C174,'Taux unitaires'!B:C,2,FALSE)</f>
        <v>1400</v>
      </c>
      <c r="F174" s="6">
        <f t="shared" si="16"/>
        <v>50400</v>
      </c>
      <c r="G174" s="5">
        <f>VLOOKUP(B174,'Durée de vie utile'!$C$8:$E$13,3,FALSE)</f>
        <v>100</v>
      </c>
      <c r="H174" s="5">
        <f>VLOOKUP(B174,'Durée de vie utile'!$C$8:$D$13,2,FALSE)</f>
        <v>70</v>
      </c>
      <c r="I174" s="6">
        <f t="shared" si="17"/>
        <v>720</v>
      </c>
      <c r="J174" s="6">
        <f>(F174/(1+'Autres hypothèses'!$D$5))*('Autres hypothèses'!$D$5/(((1+'Autres hypothèses'!$D$5)^'Conduite principale d''eau'!H174-1)))</f>
        <v>495.6575861370863</v>
      </c>
      <c r="K174" s="5">
        <v>1993</v>
      </c>
      <c r="L174" s="5">
        <f t="shared" si="12"/>
        <v>29</v>
      </c>
      <c r="M174" s="1">
        <f t="shared" si="13"/>
        <v>0.41428571428571431</v>
      </c>
      <c r="N174" s="3">
        <f t="shared" si="14"/>
        <v>20880</v>
      </c>
      <c r="O174" s="3">
        <f t="shared" si="15"/>
        <v>29520</v>
      </c>
    </row>
    <row r="175" spans="1:15" x14ac:dyDescent="0.25">
      <c r="A175" s="4" t="s">
        <v>1143</v>
      </c>
      <c r="B175" s="5" t="s">
        <v>2435</v>
      </c>
      <c r="C175" s="5">
        <v>150</v>
      </c>
      <c r="D175" s="5">
        <v>62.300000000000004</v>
      </c>
      <c r="E175" s="7">
        <f>VLOOKUP(C175,'Taux unitaires'!B:C,2,FALSE)</f>
        <v>1400</v>
      </c>
      <c r="F175" s="6">
        <f t="shared" si="16"/>
        <v>87220</v>
      </c>
      <c r="G175" s="5">
        <f>VLOOKUP(B175,'Durée de vie utile'!$C$8:$E$13,3,FALSE)</f>
        <v>100</v>
      </c>
      <c r="H175" s="5">
        <f>VLOOKUP(B175,'Durée de vie utile'!$C$8:$D$13,2,FALSE)</f>
        <v>70</v>
      </c>
      <c r="I175" s="6">
        <f t="shared" si="17"/>
        <v>1246</v>
      </c>
      <c r="J175" s="6">
        <f>(F175/(1+'Autres hypothèses'!$D$5))*('Autres hypothèses'!$D$5/(((1+'Autres hypothèses'!$D$5)^'Conduite principale d''eau'!H175-1)))</f>
        <v>857.762989342791</v>
      </c>
      <c r="K175" s="5">
        <v>1993</v>
      </c>
      <c r="L175" s="5">
        <f t="shared" si="12"/>
        <v>29</v>
      </c>
      <c r="M175" s="1">
        <f t="shared" si="13"/>
        <v>0.41428571428571431</v>
      </c>
      <c r="N175" s="3">
        <f t="shared" si="14"/>
        <v>36134</v>
      </c>
      <c r="O175" s="3">
        <f t="shared" si="15"/>
        <v>51086</v>
      </c>
    </row>
    <row r="176" spans="1:15" x14ac:dyDescent="0.25">
      <c r="A176" s="4" t="s">
        <v>1144</v>
      </c>
      <c r="B176" s="5" t="s">
        <v>2436</v>
      </c>
      <c r="C176" s="5">
        <v>150</v>
      </c>
      <c r="D176" s="5">
        <v>2.4</v>
      </c>
      <c r="E176" s="7">
        <f>VLOOKUP(C176,'Taux unitaires'!B:C,2,FALSE)</f>
        <v>1400</v>
      </c>
      <c r="F176" s="6">
        <f t="shared" si="16"/>
        <v>3360</v>
      </c>
      <c r="G176" s="5">
        <f>VLOOKUP(B176,'Durée de vie utile'!$C$8:$E$13,3,FALSE)</f>
        <v>100</v>
      </c>
      <c r="H176" s="5">
        <f>VLOOKUP(B176,'Durée de vie utile'!$C$8:$D$13,2,FALSE)</f>
        <v>70</v>
      </c>
      <c r="I176" s="6">
        <f t="shared" si="17"/>
        <v>48</v>
      </c>
      <c r="J176" s="6">
        <f>(F176/(1+'Autres hypothèses'!$D$5))*('Autres hypothèses'!$D$5/(((1+'Autres hypothèses'!$D$5)^'Conduite principale d''eau'!H176-1)))</f>
        <v>33.043839075805757</v>
      </c>
      <c r="K176" s="5">
        <v>1993</v>
      </c>
      <c r="L176" s="5">
        <f t="shared" si="12"/>
        <v>29</v>
      </c>
      <c r="M176" s="1">
        <f t="shared" si="13"/>
        <v>0.41428571428571431</v>
      </c>
      <c r="N176" s="3">
        <f t="shared" si="14"/>
        <v>1392</v>
      </c>
      <c r="O176" s="3">
        <f t="shared" si="15"/>
        <v>1968</v>
      </c>
    </row>
    <row r="177" spans="1:15" x14ac:dyDescent="0.25">
      <c r="A177" s="4" t="s">
        <v>1145</v>
      </c>
      <c r="B177" s="5" t="s">
        <v>2437</v>
      </c>
      <c r="C177" s="5">
        <v>200</v>
      </c>
      <c r="D177" s="5">
        <v>30.5</v>
      </c>
      <c r="E177" s="7">
        <f>VLOOKUP(C177,'Taux unitaires'!B:C,2,FALSE)</f>
        <v>1450</v>
      </c>
      <c r="F177" s="6">
        <f t="shared" si="16"/>
        <v>44225</v>
      </c>
      <c r="G177" s="5">
        <f>VLOOKUP(B177,'Durée de vie utile'!$C$8:$E$13,3,FALSE)</f>
        <v>125</v>
      </c>
      <c r="H177" s="5">
        <f>VLOOKUP(B177,'Durée de vie utile'!$C$8:$D$13,2,FALSE)</f>
        <v>80</v>
      </c>
      <c r="I177" s="6">
        <f t="shared" si="17"/>
        <v>552.8125</v>
      </c>
      <c r="J177" s="6">
        <f>(F177/(1+'Autres hypothèses'!$D$5))*('Autres hypothèses'!$D$5/(((1+'Autres hypothèses'!$D$5)^'Conduite principale d''eau'!H177-1)))</f>
        <v>359.87984775800095</v>
      </c>
      <c r="K177" s="5">
        <v>1993</v>
      </c>
      <c r="L177" s="5">
        <f t="shared" si="12"/>
        <v>29</v>
      </c>
      <c r="M177" s="1">
        <f t="shared" si="13"/>
        <v>0.36249999999999999</v>
      </c>
      <c r="N177" s="3">
        <f t="shared" si="14"/>
        <v>16031.5625</v>
      </c>
      <c r="O177" s="3">
        <f t="shared" si="15"/>
        <v>28193.4375</v>
      </c>
    </row>
    <row r="178" spans="1:15" x14ac:dyDescent="0.25">
      <c r="A178" s="4" t="s">
        <v>1146</v>
      </c>
      <c r="B178" s="5" t="s">
        <v>2438</v>
      </c>
      <c r="C178" s="5">
        <v>200</v>
      </c>
      <c r="D178" s="5">
        <v>97.8</v>
      </c>
      <c r="E178" s="7">
        <f>VLOOKUP(C178,'Taux unitaires'!B:C,2,FALSE)</f>
        <v>1450</v>
      </c>
      <c r="F178" s="6">
        <f t="shared" si="16"/>
        <v>141810</v>
      </c>
      <c r="G178" s="5">
        <f>VLOOKUP(B178,'Durée de vie utile'!$C$8:$E$13,3,FALSE)</f>
        <v>125</v>
      </c>
      <c r="H178" s="5">
        <f>VLOOKUP(B178,'Durée de vie utile'!$C$8:$D$13,2,FALSE)</f>
        <v>80</v>
      </c>
      <c r="I178" s="6">
        <f t="shared" si="17"/>
        <v>1772.625</v>
      </c>
      <c r="J178" s="6">
        <f>(F178/(1+'Autres hypothèses'!$D$5))*('Autres hypothèses'!$D$5/(((1+'Autres hypothèses'!$D$5)^'Conduite principale d''eau'!H178-1)))</f>
        <v>1153.9753806797539</v>
      </c>
      <c r="K178" s="5">
        <v>1994</v>
      </c>
      <c r="L178" s="5">
        <f t="shared" si="12"/>
        <v>28</v>
      </c>
      <c r="M178" s="1">
        <f t="shared" si="13"/>
        <v>0.35</v>
      </c>
      <c r="N178" s="3">
        <f t="shared" si="14"/>
        <v>49633.5</v>
      </c>
      <c r="O178" s="3">
        <f t="shared" si="15"/>
        <v>92176.5</v>
      </c>
    </row>
    <row r="179" spans="1:15" x14ac:dyDescent="0.25">
      <c r="A179" s="4" t="s">
        <v>1147</v>
      </c>
      <c r="B179" s="5" t="s">
        <v>2439</v>
      </c>
      <c r="C179" s="5">
        <v>150</v>
      </c>
      <c r="D179" s="5">
        <v>79.599999999999994</v>
      </c>
      <c r="E179" s="7">
        <f>VLOOKUP(C179,'Taux unitaires'!B:C,2,FALSE)</f>
        <v>1400</v>
      </c>
      <c r="F179" s="6">
        <f t="shared" si="16"/>
        <v>111439.99999999999</v>
      </c>
      <c r="G179" s="5">
        <f>VLOOKUP(B179,'Durée de vie utile'!$C$8:$E$13,3,FALSE)</f>
        <v>125</v>
      </c>
      <c r="H179" s="5">
        <f>VLOOKUP(B179,'Durée de vie utile'!$C$8:$D$13,2,FALSE)</f>
        <v>80</v>
      </c>
      <c r="I179" s="6">
        <f t="shared" si="17"/>
        <v>1392.9999999999998</v>
      </c>
      <c r="J179" s="6">
        <f>(F179/(1+'Autres hypothèses'!$D$5))*('Autres hypothèses'!$D$5/(((1+'Autres hypothèses'!$D$5)^'Conduite principale d''eau'!H179-1)))</f>
        <v>906.8402540226482</v>
      </c>
      <c r="K179" s="5">
        <v>1994</v>
      </c>
      <c r="L179" s="5">
        <f t="shared" si="12"/>
        <v>28</v>
      </c>
      <c r="M179" s="1">
        <f t="shared" si="13"/>
        <v>0.35</v>
      </c>
      <c r="N179" s="3">
        <f t="shared" si="14"/>
        <v>39003.999999999993</v>
      </c>
      <c r="O179" s="3">
        <f t="shared" si="15"/>
        <v>72436</v>
      </c>
    </row>
    <row r="180" spans="1:15" x14ac:dyDescent="0.25">
      <c r="A180" s="4" t="s">
        <v>1148</v>
      </c>
      <c r="B180" s="5" t="s">
        <v>2440</v>
      </c>
      <c r="C180" s="5">
        <v>150</v>
      </c>
      <c r="D180" s="5">
        <v>86.5</v>
      </c>
      <c r="E180" s="7">
        <f>VLOOKUP(C180,'Taux unitaires'!B:C,2,FALSE)</f>
        <v>1400</v>
      </c>
      <c r="F180" s="6">
        <f t="shared" si="16"/>
        <v>121100</v>
      </c>
      <c r="G180" s="5">
        <f>VLOOKUP(B180,'Durée de vie utile'!$C$8:$E$13,3,FALSE)</f>
        <v>100</v>
      </c>
      <c r="H180" s="5">
        <f>VLOOKUP(B180,'Durée de vie utile'!$C$8:$D$13,2,FALSE)</f>
        <v>70</v>
      </c>
      <c r="I180" s="6">
        <f t="shared" si="17"/>
        <v>1730</v>
      </c>
      <c r="J180" s="6">
        <f>(F180/(1+'Autres hypothèses'!$D$5))*('Autres hypothèses'!$D$5/(((1+'Autres hypothèses'!$D$5)^'Conduite principale d''eau'!H180-1)))</f>
        <v>1190.9550333571656</v>
      </c>
      <c r="K180" s="5">
        <v>1994</v>
      </c>
      <c r="L180" s="5">
        <f t="shared" si="12"/>
        <v>28</v>
      </c>
      <c r="M180" s="1">
        <f t="shared" si="13"/>
        <v>0.4</v>
      </c>
      <c r="N180" s="3">
        <f t="shared" si="14"/>
        <v>48440</v>
      </c>
      <c r="O180" s="3">
        <f t="shared" si="15"/>
        <v>72660</v>
      </c>
    </row>
    <row r="181" spans="1:15" x14ac:dyDescent="0.25">
      <c r="A181" s="4" t="s">
        <v>1149</v>
      </c>
      <c r="B181" s="5" t="s">
        <v>2441</v>
      </c>
      <c r="C181" s="5">
        <v>150</v>
      </c>
      <c r="D181" s="5">
        <v>77.599999999999994</v>
      </c>
      <c r="E181" s="7">
        <f>VLOOKUP(C181,'Taux unitaires'!B:C,2,FALSE)</f>
        <v>1400</v>
      </c>
      <c r="F181" s="6">
        <f t="shared" si="16"/>
        <v>108639.99999999999</v>
      </c>
      <c r="G181" s="5">
        <f>VLOOKUP(B181,'Durée de vie utile'!$C$8:$E$13,3,FALSE)</f>
        <v>100</v>
      </c>
      <c r="H181" s="5">
        <f>VLOOKUP(B181,'Durée de vie utile'!$C$8:$D$13,2,FALSE)</f>
        <v>70</v>
      </c>
      <c r="I181" s="6">
        <f t="shared" si="17"/>
        <v>1551.9999999999998</v>
      </c>
      <c r="J181" s="6">
        <f>(F181/(1+'Autres hypothèses'!$D$5))*('Autres hypothèses'!$D$5/(((1+'Autres hypothèses'!$D$5)^'Conduite principale d''eau'!H181-1)))</f>
        <v>1068.4174634510525</v>
      </c>
      <c r="K181" s="5">
        <v>1994</v>
      </c>
      <c r="L181" s="5">
        <f t="shared" si="12"/>
        <v>28</v>
      </c>
      <c r="M181" s="1">
        <f t="shared" si="13"/>
        <v>0.4</v>
      </c>
      <c r="N181" s="3">
        <f t="shared" si="14"/>
        <v>43456</v>
      </c>
      <c r="O181" s="3">
        <f t="shared" si="15"/>
        <v>65183.999999999985</v>
      </c>
    </row>
    <row r="182" spans="1:15" x14ac:dyDescent="0.25">
      <c r="A182" s="4" t="s">
        <v>1150</v>
      </c>
      <c r="B182" s="5" t="s">
        <v>2442</v>
      </c>
      <c r="C182" s="5">
        <v>150</v>
      </c>
      <c r="D182" s="5">
        <v>43.6</v>
      </c>
      <c r="E182" s="7">
        <f>VLOOKUP(C182,'Taux unitaires'!B:C,2,FALSE)</f>
        <v>1400</v>
      </c>
      <c r="F182" s="6">
        <f t="shared" si="16"/>
        <v>61040</v>
      </c>
      <c r="G182" s="5">
        <f>VLOOKUP(B182,'Durée de vie utile'!$C$8:$E$13,3,FALSE)</f>
        <v>125</v>
      </c>
      <c r="H182" s="5">
        <f>VLOOKUP(B182,'Durée de vie utile'!$C$8:$D$13,2,FALSE)</f>
        <v>80</v>
      </c>
      <c r="I182" s="6">
        <f t="shared" si="17"/>
        <v>763</v>
      </c>
      <c r="J182" s="6">
        <f>(F182/(1+'Autres hypothèses'!$D$5))*('Autres hypothèses'!$D$5/(((1+'Autres hypothèses'!$D$5)^'Conduite principale d''eau'!H182-1)))</f>
        <v>496.71149592195309</v>
      </c>
      <c r="K182" s="5">
        <v>1994</v>
      </c>
      <c r="L182" s="5">
        <f t="shared" si="12"/>
        <v>28</v>
      </c>
      <c r="M182" s="1">
        <f t="shared" si="13"/>
        <v>0.35</v>
      </c>
      <c r="N182" s="3">
        <f t="shared" si="14"/>
        <v>21364</v>
      </c>
      <c r="O182" s="3">
        <f t="shared" si="15"/>
        <v>39676</v>
      </c>
    </row>
    <row r="183" spans="1:15" x14ac:dyDescent="0.25">
      <c r="A183" s="4" t="s">
        <v>1151</v>
      </c>
      <c r="B183" s="5" t="s">
        <v>2443</v>
      </c>
      <c r="C183" s="5">
        <v>200</v>
      </c>
      <c r="D183" s="5">
        <v>30.8</v>
      </c>
      <c r="E183" s="7">
        <f>VLOOKUP(C183,'Taux unitaires'!B:C,2,FALSE)</f>
        <v>1450</v>
      </c>
      <c r="F183" s="6">
        <f t="shared" si="16"/>
        <v>44660</v>
      </c>
      <c r="G183" s="5">
        <f>VLOOKUP(B183,'Durée de vie utile'!$C$8:$E$13,3,FALSE)</f>
        <v>100</v>
      </c>
      <c r="H183" s="5">
        <f>VLOOKUP(B183,'Durée de vie utile'!$C$8:$D$13,2,FALSE)</f>
        <v>70</v>
      </c>
      <c r="I183" s="6">
        <f t="shared" si="17"/>
        <v>638</v>
      </c>
      <c r="J183" s="6">
        <f>(F183/(1+'Autres hypothèses'!$D$5))*('Autres hypothèses'!$D$5/(((1+'Autres hypothèses'!$D$5)^'Conduite principale d''eau'!H183-1)))</f>
        <v>439.2076943825848</v>
      </c>
      <c r="K183" s="5">
        <v>1994</v>
      </c>
      <c r="L183" s="5">
        <f t="shared" si="12"/>
        <v>28</v>
      </c>
      <c r="M183" s="1">
        <f t="shared" si="13"/>
        <v>0.4</v>
      </c>
      <c r="N183" s="3">
        <f t="shared" si="14"/>
        <v>17864</v>
      </c>
      <c r="O183" s="3">
        <f t="shared" si="15"/>
        <v>26796</v>
      </c>
    </row>
    <row r="184" spans="1:15" x14ac:dyDescent="0.25">
      <c r="A184" s="4" t="s">
        <v>1152</v>
      </c>
      <c r="B184" s="5" t="s">
        <v>2444</v>
      </c>
      <c r="C184" s="5">
        <v>150</v>
      </c>
      <c r="D184" s="5">
        <v>44.9</v>
      </c>
      <c r="E184" s="7">
        <f>VLOOKUP(C184,'Taux unitaires'!B:C,2,FALSE)</f>
        <v>1400</v>
      </c>
      <c r="F184" s="6">
        <f t="shared" si="16"/>
        <v>62860</v>
      </c>
      <c r="G184" s="5">
        <f>VLOOKUP(B184,'Durée de vie utile'!$C$8:$E$13,3,FALSE)</f>
        <v>125</v>
      </c>
      <c r="H184" s="5">
        <f>VLOOKUP(B184,'Durée de vie utile'!$C$8:$D$13,2,FALSE)</f>
        <v>80</v>
      </c>
      <c r="I184" s="6">
        <f t="shared" si="17"/>
        <v>785.75</v>
      </c>
      <c r="J184" s="6">
        <f>(F184/(1+'Autres hypothèses'!$D$5))*('Autres hypothèses'!$D$5/(((1+'Autres hypothèses'!$D$5)^'Conduite principale d''eau'!H184-1)))</f>
        <v>511.52170107558931</v>
      </c>
      <c r="K184" s="5">
        <v>1995</v>
      </c>
      <c r="L184" s="5">
        <f t="shared" si="12"/>
        <v>27</v>
      </c>
      <c r="M184" s="1">
        <f t="shared" si="13"/>
        <v>0.33750000000000002</v>
      </c>
      <c r="N184" s="3">
        <f t="shared" si="14"/>
        <v>21215.25</v>
      </c>
      <c r="O184" s="3">
        <f t="shared" si="15"/>
        <v>41644.75</v>
      </c>
    </row>
    <row r="185" spans="1:15" x14ac:dyDescent="0.25">
      <c r="A185" s="4" t="s">
        <v>1153</v>
      </c>
      <c r="B185" s="5" t="s">
        <v>2445</v>
      </c>
      <c r="C185" s="5">
        <v>150</v>
      </c>
      <c r="D185" s="5">
        <v>99.699999999999989</v>
      </c>
      <c r="E185" s="7">
        <f>VLOOKUP(C185,'Taux unitaires'!B:C,2,FALSE)</f>
        <v>1400</v>
      </c>
      <c r="F185" s="6">
        <f t="shared" si="16"/>
        <v>139579.99999999997</v>
      </c>
      <c r="G185" s="5">
        <f>VLOOKUP(B185,'Durée de vie utile'!$C$8:$E$13,3,FALSE)</f>
        <v>125</v>
      </c>
      <c r="H185" s="5">
        <f>VLOOKUP(B185,'Durée de vie utile'!$C$8:$D$13,2,FALSE)</f>
        <v>80</v>
      </c>
      <c r="I185" s="6">
        <f t="shared" si="17"/>
        <v>1744.7499999999995</v>
      </c>
      <c r="J185" s="6">
        <f>(F185/(1+'Autres hypothèses'!$D$5))*('Autres hypothèses'!$D$5/(((1+'Autres hypothèses'!$D$5)^'Conduite principale d''eau'!H185-1)))</f>
        <v>1135.8288106288696</v>
      </c>
      <c r="K185" s="5">
        <v>1995</v>
      </c>
      <c r="L185" s="5">
        <f t="shared" si="12"/>
        <v>27</v>
      </c>
      <c r="M185" s="1">
        <f t="shared" si="13"/>
        <v>0.33750000000000002</v>
      </c>
      <c r="N185" s="3">
        <f t="shared" si="14"/>
        <v>47108.249999999993</v>
      </c>
      <c r="O185" s="3">
        <f t="shared" si="15"/>
        <v>92471.749999999971</v>
      </c>
    </row>
    <row r="186" spans="1:15" x14ac:dyDescent="0.25">
      <c r="A186" s="4" t="s">
        <v>1154</v>
      </c>
      <c r="B186" s="5" t="s">
        <v>2446</v>
      </c>
      <c r="C186" s="5">
        <v>150</v>
      </c>
      <c r="D186" s="5">
        <v>93.1</v>
      </c>
      <c r="E186" s="7">
        <f>VLOOKUP(C186,'Taux unitaires'!B:C,2,FALSE)</f>
        <v>1400</v>
      </c>
      <c r="F186" s="6">
        <f t="shared" si="16"/>
        <v>130339.99999999999</v>
      </c>
      <c r="G186" s="5">
        <f>VLOOKUP(B186,'Durée de vie utile'!$C$8:$E$13,3,FALSE)</f>
        <v>100</v>
      </c>
      <c r="H186" s="5">
        <f>VLOOKUP(B186,'Durée de vie utile'!$C$8:$D$13,2,FALSE)</f>
        <v>70</v>
      </c>
      <c r="I186" s="6">
        <f t="shared" si="17"/>
        <v>1861.9999999999998</v>
      </c>
      <c r="J186" s="6">
        <f>(F186/(1+'Autres hypothèses'!$D$5))*('Autres hypothèses'!$D$5/(((1+'Autres hypothèses'!$D$5)^'Conduite principale d''eau'!H186-1)))</f>
        <v>1281.8255908156314</v>
      </c>
      <c r="K186" s="5">
        <v>1995</v>
      </c>
      <c r="L186" s="5">
        <f t="shared" si="12"/>
        <v>27</v>
      </c>
      <c r="M186" s="1">
        <f t="shared" si="13"/>
        <v>0.38571428571428573</v>
      </c>
      <c r="N186" s="3">
        <f t="shared" si="14"/>
        <v>50274</v>
      </c>
      <c r="O186" s="3">
        <f t="shared" si="15"/>
        <v>80065.999999999985</v>
      </c>
    </row>
    <row r="187" spans="1:15" x14ac:dyDescent="0.25">
      <c r="A187" s="4" t="s">
        <v>1155</v>
      </c>
      <c r="B187" s="5" t="s">
        <v>2447</v>
      </c>
      <c r="C187" s="5">
        <v>150</v>
      </c>
      <c r="D187" s="5">
        <v>87.1</v>
      </c>
      <c r="E187" s="7">
        <f>VLOOKUP(C187,'Taux unitaires'!B:C,2,FALSE)</f>
        <v>1400</v>
      </c>
      <c r="F187" s="6">
        <f t="shared" si="16"/>
        <v>121939.99999999999</v>
      </c>
      <c r="G187" s="5">
        <f>VLOOKUP(B187,'Durée de vie utile'!$C$8:$E$13,3,FALSE)</f>
        <v>100</v>
      </c>
      <c r="H187" s="5">
        <f>VLOOKUP(B187,'Durée de vie utile'!$C$8:$D$13,2,FALSE)</f>
        <v>70</v>
      </c>
      <c r="I187" s="6">
        <f t="shared" si="17"/>
        <v>1741.9999999999998</v>
      </c>
      <c r="J187" s="6">
        <f>(F187/(1+'Autres hypothèses'!$D$5))*('Autres hypothèses'!$D$5/(((1+'Autres hypothèses'!$D$5)^'Conduite principale d''eau'!H187-1)))</f>
        <v>1199.2159931261169</v>
      </c>
      <c r="K187" s="5">
        <v>1995</v>
      </c>
      <c r="L187" s="5">
        <f t="shared" si="12"/>
        <v>27</v>
      </c>
      <c r="M187" s="1">
        <f t="shared" si="13"/>
        <v>0.38571428571428573</v>
      </c>
      <c r="N187" s="3">
        <f t="shared" si="14"/>
        <v>47034</v>
      </c>
      <c r="O187" s="3">
        <f t="shared" si="15"/>
        <v>74905.999999999985</v>
      </c>
    </row>
    <row r="188" spans="1:15" x14ac:dyDescent="0.25">
      <c r="A188" s="4" t="s">
        <v>1156</v>
      </c>
      <c r="B188" s="5" t="s">
        <v>2448</v>
      </c>
      <c r="C188" s="5">
        <v>150</v>
      </c>
      <c r="D188" s="5">
        <v>52.6</v>
      </c>
      <c r="E188" s="7">
        <f>VLOOKUP(C188,'Taux unitaires'!B:C,2,FALSE)</f>
        <v>1400</v>
      </c>
      <c r="F188" s="6">
        <f t="shared" si="16"/>
        <v>73640</v>
      </c>
      <c r="G188" s="5">
        <f>VLOOKUP(B188,'Durée de vie utile'!$C$8:$E$13,3,FALSE)</f>
        <v>125</v>
      </c>
      <c r="H188" s="5">
        <f>VLOOKUP(B188,'Durée de vie utile'!$C$8:$D$13,2,FALSE)</f>
        <v>80</v>
      </c>
      <c r="I188" s="6">
        <f t="shared" si="17"/>
        <v>920.5</v>
      </c>
      <c r="J188" s="6">
        <f>(F188/(1+'Autres hypothèses'!$D$5))*('Autres hypothèses'!$D$5/(((1+'Autres hypothèses'!$D$5)^'Conduite principale d''eau'!H188-1)))</f>
        <v>599.24368544712684</v>
      </c>
      <c r="K188" s="5">
        <v>1995</v>
      </c>
      <c r="L188" s="5">
        <f t="shared" si="12"/>
        <v>27</v>
      </c>
      <c r="M188" s="1">
        <f t="shared" si="13"/>
        <v>0.33750000000000002</v>
      </c>
      <c r="N188" s="3">
        <f t="shared" si="14"/>
        <v>24853.5</v>
      </c>
      <c r="O188" s="3">
        <f t="shared" si="15"/>
        <v>48786.5</v>
      </c>
    </row>
    <row r="189" spans="1:15" x14ac:dyDescent="0.25">
      <c r="A189" s="4" t="s">
        <v>1157</v>
      </c>
      <c r="B189" s="5" t="s">
        <v>2449</v>
      </c>
      <c r="C189" s="5">
        <v>200</v>
      </c>
      <c r="D189" s="5">
        <v>24</v>
      </c>
      <c r="E189" s="7">
        <f>VLOOKUP(C189,'Taux unitaires'!B:C,2,FALSE)</f>
        <v>1450</v>
      </c>
      <c r="F189" s="6">
        <f t="shared" si="16"/>
        <v>34800</v>
      </c>
      <c r="G189" s="5">
        <f>VLOOKUP(B189,'Durée de vie utile'!$C$8:$E$13,3,FALSE)</f>
        <v>125</v>
      </c>
      <c r="H189" s="5">
        <f>VLOOKUP(B189,'Durée de vie utile'!$C$8:$D$13,2,FALSE)</f>
        <v>80</v>
      </c>
      <c r="I189" s="6">
        <f t="shared" si="17"/>
        <v>435</v>
      </c>
      <c r="J189" s="6">
        <f>(F189/(1+'Autres hypothèses'!$D$5))*('Autres hypothèses'!$D$5/(((1+'Autres hypothèses'!$D$5)^'Conduite principale d''eau'!H189-1)))</f>
        <v>283.18414249809905</v>
      </c>
      <c r="K189" s="5">
        <v>1995</v>
      </c>
      <c r="L189" s="5">
        <f t="shared" si="12"/>
        <v>27</v>
      </c>
      <c r="M189" s="1">
        <f t="shared" si="13"/>
        <v>0.33750000000000002</v>
      </c>
      <c r="N189" s="3">
        <f t="shared" si="14"/>
        <v>11745</v>
      </c>
      <c r="O189" s="3">
        <f t="shared" si="15"/>
        <v>23055</v>
      </c>
    </row>
    <row r="190" spans="1:15" x14ac:dyDescent="0.25">
      <c r="A190" s="4" t="s">
        <v>1158</v>
      </c>
      <c r="B190" s="5" t="s">
        <v>2450</v>
      </c>
      <c r="C190" s="5">
        <v>150</v>
      </c>
      <c r="D190" s="5">
        <v>97.899999999999991</v>
      </c>
      <c r="E190" s="7">
        <f>VLOOKUP(C190,'Taux unitaires'!B:C,2,FALSE)</f>
        <v>1400</v>
      </c>
      <c r="F190" s="6">
        <f t="shared" si="16"/>
        <v>137060</v>
      </c>
      <c r="G190" s="5">
        <f>VLOOKUP(B190,'Durée de vie utile'!$C$8:$E$13,3,FALSE)</f>
        <v>125</v>
      </c>
      <c r="H190" s="5">
        <f>VLOOKUP(B190,'Durée de vie utile'!$C$8:$D$13,2,FALSE)</f>
        <v>80</v>
      </c>
      <c r="I190" s="6">
        <f t="shared" si="17"/>
        <v>1713.25</v>
      </c>
      <c r="J190" s="6">
        <f>(F190/(1+'Autres hypothèses'!$D$5))*('Autres hypothèses'!$D$5/(((1+'Autres hypothèses'!$D$5)^'Conduite principale d''eau'!H190-1)))</f>
        <v>1115.3223727238351</v>
      </c>
      <c r="K190" s="5">
        <v>1996</v>
      </c>
      <c r="L190" s="5">
        <f t="shared" si="12"/>
        <v>26</v>
      </c>
      <c r="M190" s="1">
        <f t="shared" si="13"/>
        <v>0.32500000000000001</v>
      </c>
      <c r="N190" s="3">
        <f t="shared" si="14"/>
        <v>44544.5</v>
      </c>
      <c r="O190" s="3">
        <f t="shared" si="15"/>
        <v>92515.5</v>
      </c>
    </row>
    <row r="191" spans="1:15" x14ac:dyDescent="0.25">
      <c r="A191" s="4" t="s">
        <v>1159</v>
      </c>
      <c r="B191" s="5" t="s">
        <v>2451</v>
      </c>
      <c r="C191" s="5">
        <v>200</v>
      </c>
      <c r="D191" s="5">
        <v>54.800000000000004</v>
      </c>
      <c r="E191" s="7">
        <f>VLOOKUP(C191,'Taux unitaires'!B:C,2,FALSE)</f>
        <v>1450</v>
      </c>
      <c r="F191" s="6">
        <f t="shared" si="16"/>
        <v>79460</v>
      </c>
      <c r="G191" s="5">
        <f>VLOOKUP(B191,'Durée de vie utile'!$C$8:$E$13,3,FALSE)</f>
        <v>125</v>
      </c>
      <c r="H191" s="5">
        <f>VLOOKUP(B191,'Durée de vie utile'!$C$8:$D$13,2,FALSE)</f>
        <v>80</v>
      </c>
      <c r="I191" s="6">
        <f t="shared" si="17"/>
        <v>993.25</v>
      </c>
      <c r="J191" s="6">
        <f>(F191/(1+'Autres hypothèses'!$D$5))*('Autres hypothèses'!$D$5/(((1+'Autres hypothèses'!$D$5)^'Conduite principale d''eau'!H191-1)))</f>
        <v>646.60379203732623</v>
      </c>
      <c r="K191" s="5">
        <v>1996</v>
      </c>
      <c r="L191" s="5">
        <f t="shared" si="12"/>
        <v>26</v>
      </c>
      <c r="M191" s="1">
        <f t="shared" si="13"/>
        <v>0.32500000000000001</v>
      </c>
      <c r="N191" s="3">
        <f t="shared" si="14"/>
        <v>25824.5</v>
      </c>
      <c r="O191" s="3">
        <f t="shared" si="15"/>
        <v>53635.5</v>
      </c>
    </row>
    <row r="192" spans="1:15" x14ac:dyDescent="0.25">
      <c r="A192" s="4" t="s">
        <v>1160</v>
      </c>
      <c r="B192" s="5" t="s">
        <v>2452</v>
      </c>
      <c r="C192" s="5">
        <v>150</v>
      </c>
      <c r="D192" s="5">
        <v>0.1</v>
      </c>
      <c r="E192" s="7">
        <f>VLOOKUP(C192,'Taux unitaires'!B:C,2,FALSE)</f>
        <v>1400</v>
      </c>
      <c r="F192" s="6">
        <f t="shared" si="16"/>
        <v>140</v>
      </c>
      <c r="G192" s="5">
        <f>VLOOKUP(B192,'Durée de vie utile'!$C$8:$E$13,3,FALSE)</f>
        <v>100</v>
      </c>
      <c r="H192" s="5">
        <f>VLOOKUP(B192,'Durée de vie utile'!$C$8:$D$13,2,FALSE)</f>
        <v>70</v>
      </c>
      <c r="I192" s="6">
        <f t="shared" si="17"/>
        <v>2</v>
      </c>
      <c r="J192" s="6">
        <f>(F192/(1+'Autres hypothèses'!$D$5))*('Autres hypothèses'!$D$5/(((1+'Autres hypothèses'!$D$5)^'Conduite principale d''eau'!H192-1)))</f>
        <v>1.376826628158573</v>
      </c>
      <c r="K192" s="5">
        <v>1996</v>
      </c>
      <c r="L192" s="5">
        <f t="shared" si="12"/>
        <v>26</v>
      </c>
      <c r="M192" s="1">
        <f t="shared" si="13"/>
        <v>0.37142857142857144</v>
      </c>
      <c r="N192" s="3">
        <f t="shared" si="14"/>
        <v>52</v>
      </c>
      <c r="O192" s="3">
        <f t="shared" si="15"/>
        <v>88</v>
      </c>
    </row>
    <row r="193" spans="1:15" x14ac:dyDescent="0.25">
      <c r="A193" s="4" t="s">
        <v>1161</v>
      </c>
      <c r="B193" s="5" t="s">
        <v>2453</v>
      </c>
      <c r="C193" s="5">
        <v>200</v>
      </c>
      <c r="D193" s="5">
        <v>43.7</v>
      </c>
      <c r="E193" s="7">
        <f>VLOOKUP(C193,'Taux unitaires'!B:C,2,FALSE)</f>
        <v>1450</v>
      </c>
      <c r="F193" s="6">
        <f t="shared" si="16"/>
        <v>63365.000000000007</v>
      </c>
      <c r="G193" s="5">
        <f>VLOOKUP(B193,'Durée de vie utile'!$C$8:$E$13,3,FALSE)</f>
        <v>125</v>
      </c>
      <c r="H193" s="5">
        <f>VLOOKUP(B193,'Durée de vie utile'!$C$8:$D$13,2,FALSE)</f>
        <v>80</v>
      </c>
      <c r="I193" s="6">
        <f t="shared" si="17"/>
        <v>792.06250000000011</v>
      </c>
      <c r="J193" s="6">
        <f>(F193/(1+'Autres hypothèses'!$D$5))*('Autres hypothèses'!$D$5/(((1+'Autres hypothèses'!$D$5)^'Conduite principale d''eau'!H193-1)))</f>
        <v>515.63112613195551</v>
      </c>
      <c r="K193" s="5">
        <v>1996</v>
      </c>
      <c r="L193" s="5">
        <f t="shared" si="12"/>
        <v>26</v>
      </c>
      <c r="M193" s="1">
        <f t="shared" si="13"/>
        <v>0.32500000000000001</v>
      </c>
      <c r="N193" s="3">
        <f t="shared" si="14"/>
        <v>20593.625000000004</v>
      </c>
      <c r="O193" s="3">
        <f t="shared" si="15"/>
        <v>42771.375</v>
      </c>
    </row>
    <row r="194" spans="1:15" x14ac:dyDescent="0.25">
      <c r="A194" s="4" t="s">
        <v>1162</v>
      </c>
      <c r="B194" s="5" t="s">
        <v>2454</v>
      </c>
      <c r="C194" s="5">
        <v>150</v>
      </c>
      <c r="D194" s="5">
        <v>86.3</v>
      </c>
      <c r="E194" s="7">
        <f>VLOOKUP(C194,'Taux unitaires'!B:C,2,FALSE)</f>
        <v>1400</v>
      </c>
      <c r="F194" s="6">
        <f t="shared" si="16"/>
        <v>120820</v>
      </c>
      <c r="G194" s="5">
        <f>VLOOKUP(B194,'Durée de vie utile'!$C$8:$E$13,3,FALSE)</f>
        <v>125</v>
      </c>
      <c r="H194" s="5">
        <f>VLOOKUP(B194,'Durée de vie utile'!$C$8:$D$13,2,FALSE)</f>
        <v>80</v>
      </c>
      <c r="I194" s="6">
        <f t="shared" si="17"/>
        <v>1510.25</v>
      </c>
      <c r="J194" s="6">
        <f>(F194/(1+'Autres hypothèses'!$D$5))*('Autres hypothèses'!$D$5/(((1+'Autres hypothèses'!$D$5)^'Conduite principale d''eau'!H194-1)))</f>
        <v>983.16977289138879</v>
      </c>
      <c r="K194" s="5">
        <v>1996</v>
      </c>
      <c r="L194" s="5">
        <f t="shared" ref="L194:L250" si="18">2022-K194</f>
        <v>26</v>
      </c>
      <c r="M194" s="1">
        <f t="shared" ref="M194:M250" si="19">L194/H194</f>
        <v>0.32500000000000001</v>
      </c>
      <c r="N194" s="3">
        <f t="shared" ref="N194:N250" si="20">M194*F194</f>
        <v>39266.5</v>
      </c>
      <c r="O194" s="3">
        <f t="shared" ref="O194:O250" si="21">F194-N194</f>
        <v>81553.5</v>
      </c>
    </row>
    <row r="195" spans="1:15" x14ac:dyDescent="0.25">
      <c r="A195" s="4" t="s">
        <v>1163</v>
      </c>
      <c r="B195" s="5" t="s">
        <v>2455</v>
      </c>
      <c r="C195" s="5">
        <v>150</v>
      </c>
      <c r="D195" s="5">
        <v>16.400000000000002</v>
      </c>
      <c r="E195" s="7">
        <f>VLOOKUP(C195,'Taux unitaires'!B:C,2,FALSE)</f>
        <v>1400</v>
      </c>
      <c r="F195" s="6">
        <f t="shared" ref="F195:F250" si="22">D195*E195</f>
        <v>22960.000000000004</v>
      </c>
      <c r="G195" s="5">
        <f>VLOOKUP(B195,'Durée de vie utile'!$C$8:$E$13,3,FALSE)</f>
        <v>100</v>
      </c>
      <c r="H195" s="5">
        <f>VLOOKUP(B195,'Durée de vie utile'!$C$8:$D$13,2,FALSE)</f>
        <v>70</v>
      </c>
      <c r="I195" s="6">
        <f t="shared" ref="I195:I250" si="23">F195/H195</f>
        <v>328.00000000000006</v>
      </c>
      <c r="J195" s="6">
        <f>(F195/(1+'Autres hypothèses'!$D$5))*('Autres hypothèses'!$D$5/(((1+'Autres hypothèses'!$D$5)^'Conduite principale d''eau'!H195-1)))</f>
        <v>225.79956701800603</v>
      </c>
      <c r="K195" s="5">
        <v>1996</v>
      </c>
      <c r="L195" s="5">
        <f t="shared" si="18"/>
        <v>26</v>
      </c>
      <c r="M195" s="1">
        <f t="shared" si="19"/>
        <v>0.37142857142857144</v>
      </c>
      <c r="N195" s="3">
        <f t="shared" si="20"/>
        <v>8528.0000000000018</v>
      </c>
      <c r="O195" s="3">
        <f t="shared" si="21"/>
        <v>14432.000000000002</v>
      </c>
    </row>
    <row r="196" spans="1:15" x14ac:dyDescent="0.25">
      <c r="A196" s="4" t="s">
        <v>1164</v>
      </c>
      <c r="B196" s="5" t="s">
        <v>2456</v>
      </c>
      <c r="C196" s="5">
        <v>150</v>
      </c>
      <c r="D196" s="5">
        <v>85.6</v>
      </c>
      <c r="E196" s="7">
        <f>VLOOKUP(C196,'Taux unitaires'!B:C,2,FALSE)</f>
        <v>1400</v>
      </c>
      <c r="F196" s="6">
        <f t="shared" si="22"/>
        <v>119839.99999999999</v>
      </c>
      <c r="G196" s="5">
        <f>VLOOKUP(B196,'Durée de vie utile'!$C$8:$E$13,3,FALSE)</f>
        <v>125</v>
      </c>
      <c r="H196" s="5">
        <f>VLOOKUP(B196,'Durée de vie utile'!$C$8:$D$13,2,FALSE)</f>
        <v>80</v>
      </c>
      <c r="I196" s="6">
        <f t="shared" si="23"/>
        <v>1497.9999999999998</v>
      </c>
      <c r="J196" s="6">
        <f>(F196/(1+'Autres hypothèses'!$D$5))*('Autres hypothèses'!$D$5/(((1+'Autres hypothèses'!$D$5)^'Conduite principale d''eau'!H196-1)))</f>
        <v>975.19504703943073</v>
      </c>
      <c r="K196" s="5">
        <v>1996</v>
      </c>
      <c r="L196" s="5">
        <f t="shared" si="18"/>
        <v>26</v>
      </c>
      <c r="M196" s="1">
        <f t="shared" si="19"/>
        <v>0.32500000000000001</v>
      </c>
      <c r="N196" s="3">
        <f t="shared" si="20"/>
        <v>38948</v>
      </c>
      <c r="O196" s="3">
        <f t="shared" si="21"/>
        <v>80891.999999999985</v>
      </c>
    </row>
    <row r="197" spans="1:15" x14ac:dyDescent="0.25">
      <c r="A197" s="4" t="s">
        <v>1165</v>
      </c>
      <c r="B197" s="5" t="s">
        <v>2457</v>
      </c>
      <c r="C197" s="5">
        <v>150</v>
      </c>
      <c r="D197" s="5">
        <v>3.7</v>
      </c>
      <c r="E197" s="7">
        <f>VLOOKUP(C197,'Taux unitaires'!B:C,2,FALSE)</f>
        <v>1400</v>
      </c>
      <c r="F197" s="6">
        <f t="shared" si="22"/>
        <v>5180</v>
      </c>
      <c r="G197" s="5">
        <f>VLOOKUP(B197,'Durée de vie utile'!$C$8:$E$13,3,FALSE)</f>
        <v>100</v>
      </c>
      <c r="H197" s="5">
        <f>VLOOKUP(B197,'Durée de vie utile'!$C$8:$D$13,2,FALSE)</f>
        <v>70</v>
      </c>
      <c r="I197" s="6">
        <f t="shared" si="23"/>
        <v>74</v>
      </c>
      <c r="J197" s="6">
        <f>(F197/(1+'Autres hypothèses'!$D$5))*('Autres hypothèses'!$D$5/(((1+'Autres hypothèses'!$D$5)^'Conduite principale d''eau'!H197-1)))</f>
        <v>50.942585241867206</v>
      </c>
      <c r="K197" s="5">
        <v>1997</v>
      </c>
      <c r="L197" s="5">
        <f t="shared" si="18"/>
        <v>25</v>
      </c>
      <c r="M197" s="1">
        <f t="shared" si="19"/>
        <v>0.35714285714285715</v>
      </c>
      <c r="N197" s="3">
        <f t="shared" si="20"/>
        <v>1850</v>
      </c>
      <c r="O197" s="3">
        <f t="shared" si="21"/>
        <v>3330</v>
      </c>
    </row>
    <row r="198" spans="1:15" x14ac:dyDescent="0.25">
      <c r="A198" s="4" t="s">
        <v>1166</v>
      </c>
      <c r="B198" s="5" t="s">
        <v>2458</v>
      </c>
      <c r="C198" s="5">
        <v>150</v>
      </c>
      <c r="D198" s="5">
        <v>83</v>
      </c>
      <c r="E198" s="7">
        <f>VLOOKUP(C198,'Taux unitaires'!B:C,2,FALSE)</f>
        <v>1400</v>
      </c>
      <c r="F198" s="6">
        <f t="shared" si="22"/>
        <v>116200</v>
      </c>
      <c r="G198" s="5">
        <f>VLOOKUP(B198,'Durée de vie utile'!$C$8:$E$13,3,FALSE)</f>
        <v>100</v>
      </c>
      <c r="H198" s="5">
        <f>VLOOKUP(B198,'Durée de vie utile'!$C$8:$D$13,2,FALSE)</f>
        <v>70</v>
      </c>
      <c r="I198" s="6">
        <f t="shared" si="23"/>
        <v>1660</v>
      </c>
      <c r="J198" s="6">
        <f>(F198/(1+'Autres hypothèses'!$D$5))*('Autres hypothèses'!$D$5/(((1+'Autres hypothèses'!$D$5)^'Conduite principale d''eau'!H198-1)))</f>
        <v>1142.7661013716156</v>
      </c>
      <c r="K198" s="5">
        <v>1997</v>
      </c>
      <c r="L198" s="5">
        <f t="shared" si="18"/>
        <v>25</v>
      </c>
      <c r="M198" s="1">
        <f t="shared" si="19"/>
        <v>0.35714285714285715</v>
      </c>
      <c r="N198" s="3">
        <f t="shared" si="20"/>
        <v>41500</v>
      </c>
      <c r="O198" s="3">
        <f t="shared" si="21"/>
        <v>74700</v>
      </c>
    </row>
    <row r="199" spans="1:15" x14ac:dyDescent="0.25">
      <c r="A199" s="4" t="s">
        <v>1167</v>
      </c>
      <c r="B199" s="5" t="s">
        <v>2459</v>
      </c>
      <c r="C199" s="5">
        <v>200</v>
      </c>
      <c r="D199" s="5">
        <v>54.5</v>
      </c>
      <c r="E199" s="7">
        <f>VLOOKUP(C199,'Taux unitaires'!B:C,2,FALSE)</f>
        <v>1450</v>
      </c>
      <c r="F199" s="6">
        <f t="shared" si="22"/>
        <v>79025</v>
      </c>
      <c r="G199" s="5">
        <f>VLOOKUP(B199,'Durée de vie utile'!$C$8:$E$13,3,FALSE)</f>
        <v>125</v>
      </c>
      <c r="H199" s="5">
        <f>VLOOKUP(B199,'Durée de vie utile'!$C$8:$D$13,2,FALSE)</f>
        <v>80</v>
      </c>
      <c r="I199" s="6">
        <f t="shared" si="23"/>
        <v>987.8125</v>
      </c>
      <c r="J199" s="6">
        <f>(F199/(1+'Autres hypothèses'!$D$5))*('Autres hypothèses'!$D$5/(((1+'Autres hypothèses'!$D$5)^'Conduite principale d''eau'!H199-1)))</f>
        <v>643.06399025610006</v>
      </c>
      <c r="K199" s="5">
        <v>1997</v>
      </c>
      <c r="L199" s="5">
        <f t="shared" si="18"/>
        <v>25</v>
      </c>
      <c r="M199" s="1">
        <f t="shared" si="19"/>
        <v>0.3125</v>
      </c>
      <c r="N199" s="3">
        <f t="shared" si="20"/>
        <v>24695.3125</v>
      </c>
      <c r="O199" s="3">
        <f t="shared" si="21"/>
        <v>54329.6875</v>
      </c>
    </row>
    <row r="200" spans="1:15" x14ac:dyDescent="0.25">
      <c r="A200" s="4" t="s">
        <v>1168</v>
      </c>
      <c r="B200" s="5" t="s">
        <v>2460</v>
      </c>
      <c r="C200" s="5">
        <v>150</v>
      </c>
      <c r="D200" s="5">
        <v>0.9</v>
      </c>
      <c r="E200" s="7">
        <f>VLOOKUP(C200,'Taux unitaires'!B:C,2,FALSE)</f>
        <v>1400</v>
      </c>
      <c r="F200" s="6">
        <f t="shared" si="22"/>
        <v>1260</v>
      </c>
      <c r="G200" s="5">
        <f>VLOOKUP(B200,'Durée de vie utile'!$C$8:$E$13,3,FALSE)</f>
        <v>100</v>
      </c>
      <c r="H200" s="5">
        <f>VLOOKUP(B200,'Durée de vie utile'!$C$8:$D$13,2,FALSE)</f>
        <v>70</v>
      </c>
      <c r="I200" s="6">
        <f t="shared" si="23"/>
        <v>18</v>
      </c>
      <c r="J200" s="6">
        <f>(F200/(1+'Autres hypothèses'!$D$5))*('Autres hypothèses'!$D$5/(((1+'Autres hypothèses'!$D$5)^'Conduite principale d''eau'!H200-1)))</f>
        <v>12.39143965342716</v>
      </c>
      <c r="K200" s="5">
        <v>1997</v>
      </c>
      <c r="L200" s="5">
        <f t="shared" si="18"/>
        <v>25</v>
      </c>
      <c r="M200" s="1">
        <f t="shared" si="19"/>
        <v>0.35714285714285715</v>
      </c>
      <c r="N200" s="3">
        <f t="shared" si="20"/>
        <v>450</v>
      </c>
      <c r="O200" s="3">
        <f t="shared" si="21"/>
        <v>810</v>
      </c>
    </row>
    <row r="201" spans="1:15" x14ac:dyDescent="0.25">
      <c r="A201" s="4" t="s">
        <v>1169</v>
      </c>
      <c r="B201" s="5" t="s">
        <v>2461</v>
      </c>
      <c r="C201" s="5">
        <v>150</v>
      </c>
      <c r="D201" s="5">
        <v>79.899999999999991</v>
      </c>
      <c r="E201" s="7">
        <f>VLOOKUP(C201,'Taux unitaires'!B:C,2,FALSE)</f>
        <v>1400</v>
      </c>
      <c r="F201" s="6">
        <f t="shared" si="22"/>
        <v>111859.99999999999</v>
      </c>
      <c r="G201" s="5">
        <f>VLOOKUP(B201,'Durée de vie utile'!$C$8:$E$13,3,FALSE)</f>
        <v>125</v>
      </c>
      <c r="H201" s="5">
        <f>VLOOKUP(B201,'Durée de vie utile'!$C$8:$D$13,2,FALSE)</f>
        <v>80</v>
      </c>
      <c r="I201" s="6">
        <f t="shared" si="23"/>
        <v>1398.2499999999998</v>
      </c>
      <c r="J201" s="6">
        <f>(F201/(1+'Autres hypothèses'!$D$5))*('Autres hypothèses'!$D$5/(((1+'Autres hypothèses'!$D$5)^'Conduite principale d''eau'!H201-1)))</f>
        <v>910.25799367348736</v>
      </c>
      <c r="K201" s="5">
        <v>1997</v>
      </c>
      <c r="L201" s="5">
        <f t="shared" si="18"/>
        <v>25</v>
      </c>
      <c r="M201" s="1">
        <f t="shared" si="19"/>
        <v>0.3125</v>
      </c>
      <c r="N201" s="3">
        <f t="shared" si="20"/>
        <v>34956.249999999993</v>
      </c>
      <c r="O201" s="3">
        <f t="shared" si="21"/>
        <v>76903.75</v>
      </c>
    </row>
    <row r="202" spans="1:15" x14ac:dyDescent="0.25">
      <c r="A202" s="4" t="s">
        <v>1170</v>
      </c>
      <c r="B202" s="5" t="s">
        <v>2462</v>
      </c>
      <c r="C202" s="5">
        <v>200</v>
      </c>
      <c r="D202" s="5">
        <v>70.699999999999989</v>
      </c>
      <c r="E202" s="7">
        <f>VLOOKUP(C202,'Taux unitaires'!B:C,2,FALSE)</f>
        <v>1450</v>
      </c>
      <c r="F202" s="6">
        <f t="shared" si="22"/>
        <v>102514.99999999999</v>
      </c>
      <c r="G202" s="5">
        <f>VLOOKUP(B202,'Durée de vie utile'!$C$8:$E$13,3,FALSE)</f>
        <v>100</v>
      </c>
      <c r="H202" s="5">
        <f>VLOOKUP(B202,'Durée de vie utile'!$C$8:$D$13,2,FALSE)</f>
        <v>70</v>
      </c>
      <c r="I202" s="6">
        <f t="shared" si="23"/>
        <v>1464.4999999999998</v>
      </c>
      <c r="J202" s="6">
        <f>(F202/(1+'Autres hypothèses'!$D$5))*('Autres hypothèses'!$D$5/(((1+'Autres hypothèses'!$D$5)^'Conduite principale d''eau'!H202-1)))</f>
        <v>1008.1812984691149</v>
      </c>
      <c r="K202" s="5">
        <v>1997</v>
      </c>
      <c r="L202" s="5">
        <f t="shared" si="18"/>
        <v>25</v>
      </c>
      <c r="M202" s="1">
        <f t="shared" si="19"/>
        <v>0.35714285714285715</v>
      </c>
      <c r="N202" s="3">
        <f t="shared" si="20"/>
        <v>36612.499999999993</v>
      </c>
      <c r="O202" s="3">
        <f t="shared" si="21"/>
        <v>65902.5</v>
      </c>
    </row>
    <row r="203" spans="1:15" x14ac:dyDescent="0.25">
      <c r="A203" s="4" t="s">
        <v>1171</v>
      </c>
      <c r="B203" s="5" t="s">
        <v>2463</v>
      </c>
      <c r="C203" s="5">
        <v>150</v>
      </c>
      <c r="D203" s="5">
        <v>21.700000000000003</v>
      </c>
      <c r="E203" s="7">
        <f>VLOOKUP(C203,'Taux unitaires'!B:C,2,FALSE)</f>
        <v>1400</v>
      </c>
      <c r="F203" s="6">
        <f t="shared" si="22"/>
        <v>30380.000000000004</v>
      </c>
      <c r="G203" s="5">
        <f>VLOOKUP(B203,'Durée de vie utile'!$C$8:$E$13,3,FALSE)</f>
        <v>125</v>
      </c>
      <c r="H203" s="5">
        <f>VLOOKUP(B203,'Durée de vie utile'!$C$8:$D$13,2,FALSE)</f>
        <v>80</v>
      </c>
      <c r="I203" s="6">
        <f t="shared" si="23"/>
        <v>379.75000000000006</v>
      </c>
      <c r="J203" s="6">
        <f>(F203/(1+'Autres hypothèses'!$D$5))*('Autres hypothèses'!$D$5/(((1+'Autres hypothèses'!$D$5)^'Conduite principale d''eau'!H203-1)))</f>
        <v>247.21650141069688</v>
      </c>
      <c r="K203" s="5">
        <v>1997</v>
      </c>
      <c r="L203" s="5">
        <f t="shared" si="18"/>
        <v>25</v>
      </c>
      <c r="M203" s="1">
        <f t="shared" si="19"/>
        <v>0.3125</v>
      </c>
      <c r="N203" s="3">
        <f t="shared" si="20"/>
        <v>9493.7500000000018</v>
      </c>
      <c r="O203" s="3">
        <f t="shared" si="21"/>
        <v>20886.25</v>
      </c>
    </row>
    <row r="204" spans="1:15" x14ac:dyDescent="0.25">
      <c r="A204" s="4" t="s">
        <v>1172</v>
      </c>
      <c r="B204" s="5" t="s">
        <v>2464</v>
      </c>
      <c r="C204" s="5">
        <v>150</v>
      </c>
      <c r="D204" s="5">
        <v>39.1</v>
      </c>
      <c r="E204" s="7">
        <f>VLOOKUP(C204,'Taux unitaires'!B:C,2,FALSE)</f>
        <v>1400</v>
      </c>
      <c r="F204" s="6">
        <f t="shared" si="22"/>
        <v>54740</v>
      </c>
      <c r="G204" s="5">
        <f>VLOOKUP(B204,'Durée de vie utile'!$C$8:$E$13,3,FALSE)</f>
        <v>125</v>
      </c>
      <c r="H204" s="5">
        <f>VLOOKUP(B204,'Durée de vie utile'!$C$8:$D$13,2,FALSE)</f>
        <v>80</v>
      </c>
      <c r="I204" s="6">
        <f t="shared" si="23"/>
        <v>684.25</v>
      </c>
      <c r="J204" s="6">
        <f>(F204/(1+'Autres hypothèses'!$D$5))*('Autres hypothèses'!$D$5/(((1+'Autres hypothèses'!$D$5)^'Conduite principale d''eau'!H204-1)))</f>
        <v>445.44540115936621</v>
      </c>
      <c r="K204" s="5">
        <v>1997</v>
      </c>
      <c r="L204" s="5">
        <f t="shared" si="18"/>
        <v>25</v>
      </c>
      <c r="M204" s="1">
        <f t="shared" si="19"/>
        <v>0.3125</v>
      </c>
      <c r="N204" s="3">
        <f t="shared" si="20"/>
        <v>17106.25</v>
      </c>
      <c r="O204" s="3">
        <f t="shared" si="21"/>
        <v>37633.75</v>
      </c>
    </row>
    <row r="205" spans="1:15" x14ac:dyDescent="0.25">
      <c r="A205" s="4" t="s">
        <v>1173</v>
      </c>
      <c r="B205" s="5" t="s">
        <v>2465</v>
      </c>
      <c r="C205" s="5">
        <v>150</v>
      </c>
      <c r="D205" s="5">
        <v>40</v>
      </c>
      <c r="E205" s="7">
        <f>VLOOKUP(C205,'Taux unitaires'!B:C,2,FALSE)</f>
        <v>1400</v>
      </c>
      <c r="F205" s="6">
        <f t="shared" si="22"/>
        <v>56000</v>
      </c>
      <c r="G205" s="5">
        <f>VLOOKUP(B205,'Durée de vie utile'!$C$8:$E$13,3,FALSE)</f>
        <v>125</v>
      </c>
      <c r="H205" s="5">
        <f>VLOOKUP(B205,'Durée de vie utile'!$C$8:$D$13,2,FALSE)</f>
        <v>80</v>
      </c>
      <c r="I205" s="6">
        <f t="shared" si="23"/>
        <v>700</v>
      </c>
      <c r="J205" s="6">
        <f>(F205/(1+'Autres hypothèses'!$D$5))*('Autres hypothèses'!$D$5/(((1+'Autres hypothèses'!$D$5)^'Conduite principale d''eau'!H205-1)))</f>
        <v>455.6986201118836</v>
      </c>
      <c r="K205" s="5">
        <v>1997</v>
      </c>
      <c r="L205" s="5">
        <f t="shared" si="18"/>
        <v>25</v>
      </c>
      <c r="M205" s="1">
        <f t="shared" si="19"/>
        <v>0.3125</v>
      </c>
      <c r="N205" s="3">
        <f t="shared" si="20"/>
        <v>17500</v>
      </c>
      <c r="O205" s="3">
        <f t="shared" si="21"/>
        <v>38500</v>
      </c>
    </row>
    <row r="206" spans="1:15" x14ac:dyDescent="0.25">
      <c r="A206" s="4" t="s">
        <v>1174</v>
      </c>
      <c r="B206" s="5" t="s">
        <v>2466</v>
      </c>
      <c r="C206" s="5">
        <v>200</v>
      </c>
      <c r="D206" s="5">
        <v>8.1</v>
      </c>
      <c r="E206" s="7">
        <f>VLOOKUP(C206,'Taux unitaires'!B:C,2,FALSE)</f>
        <v>1450</v>
      </c>
      <c r="F206" s="6">
        <f t="shared" si="22"/>
        <v>11745</v>
      </c>
      <c r="G206" s="5">
        <f>VLOOKUP(B206,'Durée de vie utile'!$C$8:$E$13,3,FALSE)</f>
        <v>125</v>
      </c>
      <c r="H206" s="5">
        <f>VLOOKUP(B206,'Durée de vie utile'!$C$8:$D$13,2,FALSE)</f>
        <v>80</v>
      </c>
      <c r="I206" s="6">
        <f t="shared" si="23"/>
        <v>146.8125</v>
      </c>
      <c r="J206" s="6">
        <f>(F206/(1+'Autres hypothèses'!$D$5))*('Autres hypothèses'!$D$5/(((1+'Autres hypothèses'!$D$5)^'Conduite principale d''eau'!H206-1)))</f>
        <v>95.574648093108451</v>
      </c>
      <c r="K206" s="5">
        <v>1997</v>
      </c>
      <c r="L206" s="5">
        <f t="shared" si="18"/>
        <v>25</v>
      </c>
      <c r="M206" s="1">
        <f t="shared" si="19"/>
        <v>0.3125</v>
      </c>
      <c r="N206" s="3">
        <f t="shared" si="20"/>
        <v>3670.3125</v>
      </c>
      <c r="O206" s="3">
        <f t="shared" si="21"/>
        <v>8074.6875</v>
      </c>
    </row>
    <row r="207" spans="1:15" x14ac:dyDescent="0.25">
      <c r="A207" s="4" t="s">
        <v>1175</v>
      </c>
      <c r="B207" s="5" t="s">
        <v>2467</v>
      </c>
      <c r="C207" s="5">
        <v>200</v>
      </c>
      <c r="D207" s="5">
        <v>35.1</v>
      </c>
      <c r="E207" s="7">
        <f>VLOOKUP(C207,'Taux unitaires'!B:C,2,FALSE)</f>
        <v>1450</v>
      </c>
      <c r="F207" s="6">
        <f t="shared" si="22"/>
        <v>50895</v>
      </c>
      <c r="G207" s="5">
        <f>VLOOKUP(B207,'Durée de vie utile'!$C$8:$E$13,3,FALSE)</f>
        <v>100</v>
      </c>
      <c r="H207" s="5">
        <f>VLOOKUP(B207,'Durée de vie utile'!$C$8:$D$13,2,FALSE)</f>
        <v>70</v>
      </c>
      <c r="I207" s="6">
        <f t="shared" si="23"/>
        <v>727.07142857142856</v>
      </c>
      <c r="J207" s="6">
        <f>(F207/(1+'Autres hypothèses'!$D$5))*('Autres hypothèses'!$D$5/(((1+'Autres hypothèses'!$D$5)^'Conduite principale d''eau'!H207-1)))</f>
        <v>500.52565171521843</v>
      </c>
      <c r="K207" s="5">
        <v>1998</v>
      </c>
      <c r="L207" s="5">
        <f t="shared" si="18"/>
        <v>24</v>
      </c>
      <c r="M207" s="1">
        <f t="shared" si="19"/>
        <v>0.34285714285714286</v>
      </c>
      <c r="N207" s="3">
        <f t="shared" si="20"/>
        <v>17449.714285714286</v>
      </c>
      <c r="O207" s="3">
        <f t="shared" si="21"/>
        <v>33445.28571428571</v>
      </c>
    </row>
    <row r="208" spans="1:15" x14ac:dyDescent="0.25">
      <c r="A208" s="4" t="s">
        <v>1176</v>
      </c>
      <c r="B208" s="5" t="s">
        <v>2468</v>
      </c>
      <c r="C208" s="5">
        <v>200</v>
      </c>
      <c r="D208" s="5">
        <v>88.6</v>
      </c>
      <c r="E208" s="7">
        <f>VLOOKUP(C208,'Taux unitaires'!B:C,2,FALSE)</f>
        <v>1450</v>
      </c>
      <c r="F208" s="6">
        <f t="shared" si="22"/>
        <v>128469.99999999999</v>
      </c>
      <c r="G208" s="5">
        <f>VLOOKUP(B208,'Durée de vie utile'!$C$8:$E$13,3,FALSE)</f>
        <v>125</v>
      </c>
      <c r="H208" s="5">
        <f>VLOOKUP(B208,'Durée de vie utile'!$C$8:$D$13,2,FALSE)</f>
        <v>80</v>
      </c>
      <c r="I208" s="6">
        <f t="shared" si="23"/>
        <v>1605.8749999999998</v>
      </c>
      <c r="J208" s="6">
        <f>(F208/(1+'Autres hypothèses'!$D$5))*('Autres hypothèses'!$D$5/(((1+'Autres hypothèses'!$D$5)^'Conduite principale d''eau'!H208-1)))</f>
        <v>1045.4214593888157</v>
      </c>
      <c r="K208" s="5">
        <v>1998</v>
      </c>
      <c r="L208" s="5">
        <f t="shared" si="18"/>
        <v>24</v>
      </c>
      <c r="M208" s="1">
        <f t="shared" si="19"/>
        <v>0.3</v>
      </c>
      <c r="N208" s="3">
        <f t="shared" si="20"/>
        <v>38540.999999999993</v>
      </c>
      <c r="O208" s="3">
        <f t="shared" si="21"/>
        <v>89929</v>
      </c>
    </row>
    <row r="209" spans="1:15" x14ac:dyDescent="0.25">
      <c r="A209" s="4" t="s">
        <v>1177</v>
      </c>
      <c r="B209" s="5" t="s">
        <v>2469</v>
      </c>
      <c r="C209" s="5">
        <v>200</v>
      </c>
      <c r="D209" s="5">
        <v>49.9</v>
      </c>
      <c r="E209" s="7">
        <f>VLOOKUP(C209,'Taux unitaires'!B:C,2,FALSE)</f>
        <v>1450</v>
      </c>
      <c r="F209" s="6">
        <f t="shared" si="22"/>
        <v>72355</v>
      </c>
      <c r="G209" s="5">
        <f>VLOOKUP(B209,'Durée de vie utile'!$C$8:$E$13,3,FALSE)</f>
        <v>100</v>
      </c>
      <c r="H209" s="5">
        <f>VLOOKUP(B209,'Durée de vie utile'!$C$8:$D$13,2,FALSE)</f>
        <v>70</v>
      </c>
      <c r="I209" s="6">
        <f t="shared" si="23"/>
        <v>1033.6428571428571</v>
      </c>
      <c r="J209" s="6">
        <f>(F209/(1+'Autres hypothèses'!$D$5))*('Autres hypothèses'!$D$5/(((1+'Autres hypothèses'!$D$5)^'Conduite principale d''eau'!H209-1)))</f>
        <v>711.57350486009682</v>
      </c>
      <c r="K209" s="5">
        <v>1998</v>
      </c>
      <c r="L209" s="5">
        <f t="shared" si="18"/>
        <v>24</v>
      </c>
      <c r="M209" s="1">
        <f t="shared" si="19"/>
        <v>0.34285714285714286</v>
      </c>
      <c r="N209" s="3">
        <f t="shared" si="20"/>
        <v>24807.428571428572</v>
      </c>
      <c r="O209" s="3">
        <f t="shared" si="21"/>
        <v>47547.571428571428</v>
      </c>
    </row>
    <row r="210" spans="1:15" x14ac:dyDescent="0.25">
      <c r="A210" s="4" t="s">
        <v>1178</v>
      </c>
      <c r="B210" s="5" t="s">
        <v>2470</v>
      </c>
      <c r="C210" s="5">
        <v>150</v>
      </c>
      <c r="D210" s="5">
        <v>79.099999999999994</v>
      </c>
      <c r="E210" s="7">
        <f>VLOOKUP(C210,'Taux unitaires'!B:C,2,FALSE)</f>
        <v>1400</v>
      </c>
      <c r="F210" s="6">
        <f t="shared" si="22"/>
        <v>110739.99999999999</v>
      </c>
      <c r="G210" s="5">
        <f>VLOOKUP(B210,'Durée de vie utile'!$C$8:$E$13,3,FALSE)</f>
        <v>125</v>
      </c>
      <c r="H210" s="5">
        <f>VLOOKUP(B210,'Durée de vie utile'!$C$8:$D$13,2,FALSE)</f>
        <v>80</v>
      </c>
      <c r="I210" s="6">
        <f t="shared" si="23"/>
        <v>1384.2499999999998</v>
      </c>
      <c r="J210" s="6">
        <f>(F210/(1+'Autres hypothèses'!$D$5))*('Autres hypothèses'!$D$5/(((1+'Autres hypothèses'!$D$5)^'Conduite principale d''eau'!H210-1)))</f>
        <v>901.1440212712497</v>
      </c>
      <c r="K210" s="5">
        <v>1998</v>
      </c>
      <c r="L210" s="5">
        <f t="shared" si="18"/>
        <v>24</v>
      </c>
      <c r="M210" s="1">
        <f t="shared" si="19"/>
        <v>0.3</v>
      </c>
      <c r="N210" s="3">
        <f t="shared" si="20"/>
        <v>33221.999999999993</v>
      </c>
      <c r="O210" s="3">
        <f t="shared" si="21"/>
        <v>77518</v>
      </c>
    </row>
    <row r="211" spans="1:15" x14ac:dyDescent="0.25">
      <c r="A211" s="4" t="s">
        <v>1179</v>
      </c>
      <c r="B211" s="5" t="s">
        <v>2471</v>
      </c>
      <c r="C211" s="5">
        <v>150</v>
      </c>
      <c r="D211" s="5">
        <v>21.5</v>
      </c>
      <c r="E211" s="7">
        <f>VLOOKUP(C211,'Taux unitaires'!B:C,2,FALSE)</f>
        <v>1400</v>
      </c>
      <c r="F211" s="6">
        <f t="shared" si="22"/>
        <v>30100</v>
      </c>
      <c r="G211" s="5">
        <f>VLOOKUP(B211,'Durée de vie utile'!$C$8:$E$13,3,FALSE)</f>
        <v>125</v>
      </c>
      <c r="H211" s="5">
        <f>VLOOKUP(B211,'Durée de vie utile'!$C$8:$D$13,2,FALSE)</f>
        <v>80</v>
      </c>
      <c r="I211" s="6">
        <f t="shared" si="23"/>
        <v>376.25</v>
      </c>
      <c r="J211" s="6">
        <f>(F211/(1+'Autres hypothèses'!$D$5))*('Autres hypothèses'!$D$5/(((1+'Autres hypothèses'!$D$5)^'Conduite principale d''eau'!H211-1)))</f>
        <v>244.93800831013743</v>
      </c>
      <c r="K211" s="5">
        <v>1998</v>
      </c>
      <c r="L211" s="5">
        <f t="shared" si="18"/>
        <v>24</v>
      </c>
      <c r="M211" s="1">
        <f t="shared" si="19"/>
        <v>0.3</v>
      </c>
      <c r="N211" s="3">
        <f t="shared" si="20"/>
        <v>9030</v>
      </c>
      <c r="O211" s="3">
        <f t="shared" si="21"/>
        <v>21070</v>
      </c>
    </row>
    <row r="212" spans="1:15" x14ac:dyDescent="0.25">
      <c r="A212" s="4" t="s">
        <v>1180</v>
      </c>
      <c r="B212" s="5" t="s">
        <v>2472</v>
      </c>
      <c r="C212" s="5">
        <v>150</v>
      </c>
      <c r="D212" s="5">
        <v>60.7</v>
      </c>
      <c r="E212" s="7">
        <f>VLOOKUP(C212,'Taux unitaires'!B:C,2,FALSE)</f>
        <v>1400</v>
      </c>
      <c r="F212" s="6">
        <f t="shared" si="22"/>
        <v>84980</v>
      </c>
      <c r="G212" s="5">
        <f>VLOOKUP(B212,'Durée de vie utile'!$C$8:$E$13,3,FALSE)</f>
        <v>125</v>
      </c>
      <c r="H212" s="5">
        <f>VLOOKUP(B212,'Durée de vie utile'!$C$8:$D$13,2,FALSE)</f>
        <v>80</v>
      </c>
      <c r="I212" s="6">
        <f t="shared" si="23"/>
        <v>1062.25</v>
      </c>
      <c r="J212" s="6">
        <f>(F212/(1+'Autres hypothèses'!$D$5))*('Autres hypothèses'!$D$5/(((1+'Autres hypothèses'!$D$5)^'Conduite principale d''eau'!H212-1)))</f>
        <v>691.52265601978331</v>
      </c>
      <c r="K212" s="5">
        <v>1999</v>
      </c>
      <c r="L212" s="5">
        <f t="shared" si="18"/>
        <v>23</v>
      </c>
      <c r="M212" s="1">
        <f t="shared" si="19"/>
        <v>0.28749999999999998</v>
      </c>
      <c r="N212" s="3">
        <f t="shared" si="20"/>
        <v>24431.749999999996</v>
      </c>
      <c r="O212" s="3">
        <f t="shared" si="21"/>
        <v>60548.25</v>
      </c>
    </row>
    <row r="213" spans="1:15" x14ac:dyDescent="0.25">
      <c r="A213" s="4" t="s">
        <v>1181</v>
      </c>
      <c r="B213" s="5" t="s">
        <v>2473</v>
      </c>
      <c r="C213" s="5">
        <v>150</v>
      </c>
      <c r="D213" s="5">
        <v>82.8</v>
      </c>
      <c r="E213" s="7">
        <f>VLOOKUP(C213,'Taux unitaires'!B:C,2,FALSE)</f>
        <v>1400</v>
      </c>
      <c r="F213" s="6">
        <f t="shared" si="22"/>
        <v>115920</v>
      </c>
      <c r="G213" s="5">
        <f>VLOOKUP(B213,'Durée de vie utile'!$C$8:$E$13,3,FALSE)</f>
        <v>125</v>
      </c>
      <c r="H213" s="5">
        <f>VLOOKUP(B213,'Durée de vie utile'!$C$8:$D$13,2,FALSE)</f>
        <v>80</v>
      </c>
      <c r="I213" s="6">
        <f t="shared" si="23"/>
        <v>1449</v>
      </c>
      <c r="J213" s="6">
        <f>(F213/(1+'Autres hypothèses'!$D$5))*('Autres hypothèses'!$D$5/(((1+'Autres hypothèses'!$D$5)^'Conduite principale d''eau'!H213-1)))</f>
        <v>943.29614363159908</v>
      </c>
      <c r="K213" s="5">
        <v>1999</v>
      </c>
      <c r="L213" s="5">
        <f t="shared" si="18"/>
        <v>23</v>
      </c>
      <c r="M213" s="1">
        <f t="shared" si="19"/>
        <v>0.28749999999999998</v>
      </c>
      <c r="N213" s="3">
        <f t="shared" si="20"/>
        <v>33327</v>
      </c>
      <c r="O213" s="3">
        <f t="shared" si="21"/>
        <v>82593</v>
      </c>
    </row>
    <row r="214" spans="1:15" x14ac:dyDescent="0.25">
      <c r="A214" s="4" t="s">
        <v>1182</v>
      </c>
      <c r="B214" s="5" t="s">
        <v>2474</v>
      </c>
      <c r="C214" s="5">
        <v>150</v>
      </c>
      <c r="D214" s="5">
        <v>8.1</v>
      </c>
      <c r="E214" s="7">
        <f>VLOOKUP(C214,'Taux unitaires'!B:C,2,FALSE)</f>
        <v>1400</v>
      </c>
      <c r="F214" s="6">
        <f t="shared" si="22"/>
        <v>11340</v>
      </c>
      <c r="G214" s="5">
        <f>VLOOKUP(B214,'Durée de vie utile'!$C$8:$E$13,3,FALSE)</f>
        <v>125</v>
      </c>
      <c r="H214" s="5">
        <f>VLOOKUP(B214,'Durée de vie utile'!$C$8:$D$13,2,FALSE)</f>
        <v>80</v>
      </c>
      <c r="I214" s="6">
        <f t="shared" si="23"/>
        <v>141.75</v>
      </c>
      <c r="J214" s="6">
        <f>(F214/(1+'Autres hypothèses'!$D$5))*('Autres hypothèses'!$D$5/(((1+'Autres hypothèses'!$D$5)^'Conduite principale d''eau'!H214-1)))</f>
        <v>92.278970572656434</v>
      </c>
      <c r="K214" s="5">
        <v>1999</v>
      </c>
      <c r="L214" s="5">
        <f t="shared" si="18"/>
        <v>23</v>
      </c>
      <c r="M214" s="1">
        <f t="shared" si="19"/>
        <v>0.28749999999999998</v>
      </c>
      <c r="N214" s="3">
        <f t="shared" si="20"/>
        <v>3260.2499999999995</v>
      </c>
      <c r="O214" s="3">
        <f t="shared" si="21"/>
        <v>8079.75</v>
      </c>
    </row>
    <row r="215" spans="1:15" x14ac:dyDescent="0.25">
      <c r="A215" s="4" t="s">
        <v>1183</v>
      </c>
      <c r="B215" s="5" t="s">
        <v>2475</v>
      </c>
      <c r="C215" s="5">
        <v>150</v>
      </c>
      <c r="D215" s="5">
        <v>50.6</v>
      </c>
      <c r="E215" s="7">
        <f>VLOOKUP(C215,'Taux unitaires'!B:C,2,FALSE)</f>
        <v>1400</v>
      </c>
      <c r="F215" s="6">
        <f t="shared" si="22"/>
        <v>70840</v>
      </c>
      <c r="G215" s="5">
        <f>VLOOKUP(B215,'Durée de vie utile'!$C$8:$E$13,3,FALSE)</f>
        <v>125</v>
      </c>
      <c r="H215" s="5">
        <f>VLOOKUP(B215,'Durée de vie utile'!$C$8:$D$13,2,FALSE)</f>
        <v>80</v>
      </c>
      <c r="I215" s="6">
        <f t="shared" si="23"/>
        <v>885.5</v>
      </c>
      <c r="J215" s="6">
        <f>(F215/(1+'Autres hypothèses'!$D$5))*('Autres hypothèses'!$D$5/(((1+'Autres hypothèses'!$D$5)^'Conduite principale d''eau'!H215-1)))</f>
        <v>576.45875444153273</v>
      </c>
      <c r="K215" s="5">
        <v>1999</v>
      </c>
      <c r="L215" s="5">
        <f t="shared" si="18"/>
        <v>23</v>
      </c>
      <c r="M215" s="1">
        <f t="shared" si="19"/>
        <v>0.28749999999999998</v>
      </c>
      <c r="N215" s="3">
        <f t="shared" si="20"/>
        <v>20366.5</v>
      </c>
      <c r="O215" s="3">
        <f t="shared" si="21"/>
        <v>50473.5</v>
      </c>
    </row>
    <row r="216" spans="1:15" x14ac:dyDescent="0.25">
      <c r="A216" s="4" t="s">
        <v>1184</v>
      </c>
      <c r="B216" s="5" t="s">
        <v>2476</v>
      </c>
      <c r="C216" s="5">
        <v>150</v>
      </c>
      <c r="D216" s="5">
        <v>36.200000000000003</v>
      </c>
      <c r="E216" s="7">
        <f>VLOOKUP(C216,'Taux unitaires'!B:C,2,FALSE)</f>
        <v>1400</v>
      </c>
      <c r="F216" s="6">
        <f t="shared" si="22"/>
        <v>50680.000000000007</v>
      </c>
      <c r="G216" s="5">
        <f>VLOOKUP(B216,'Durée de vie utile'!$C$8:$E$13,3,FALSE)</f>
        <v>125</v>
      </c>
      <c r="H216" s="5">
        <f>VLOOKUP(B216,'Durée de vie utile'!$C$8:$D$13,2,FALSE)</f>
        <v>80</v>
      </c>
      <c r="I216" s="6">
        <f t="shared" si="23"/>
        <v>633.50000000000011</v>
      </c>
      <c r="J216" s="6">
        <f>(F216/(1+'Autres hypothèses'!$D$5))*('Autres hypothèses'!$D$5/(((1+'Autres hypothèses'!$D$5)^'Conduite principale d''eau'!H216-1)))</f>
        <v>412.40725120125472</v>
      </c>
      <c r="K216" s="5">
        <v>1999</v>
      </c>
      <c r="L216" s="5">
        <f t="shared" si="18"/>
        <v>23</v>
      </c>
      <c r="M216" s="1">
        <f t="shared" si="19"/>
        <v>0.28749999999999998</v>
      </c>
      <c r="N216" s="3">
        <f t="shared" si="20"/>
        <v>14570.500000000002</v>
      </c>
      <c r="O216" s="3">
        <f t="shared" si="21"/>
        <v>36109.500000000007</v>
      </c>
    </row>
    <row r="217" spans="1:15" x14ac:dyDescent="0.25">
      <c r="A217" s="4" t="s">
        <v>1185</v>
      </c>
      <c r="B217" s="5" t="s">
        <v>2477</v>
      </c>
      <c r="C217" s="5">
        <v>200</v>
      </c>
      <c r="D217" s="5">
        <v>84.6</v>
      </c>
      <c r="E217" s="7">
        <f>VLOOKUP(C217,'Taux unitaires'!B:C,2,FALSE)</f>
        <v>1450</v>
      </c>
      <c r="F217" s="6">
        <f t="shared" si="22"/>
        <v>122669.99999999999</v>
      </c>
      <c r="G217" s="5">
        <f>VLOOKUP(B217,'Durée de vie utile'!$C$8:$E$13,3,FALSE)</f>
        <v>100</v>
      </c>
      <c r="H217" s="5">
        <f>VLOOKUP(B217,'Durée de vie utile'!$C$8:$D$13,2,FALSE)</f>
        <v>70</v>
      </c>
      <c r="I217" s="6">
        <f t="shared" si="23"/>
        <v>1752.4285714285713</v>
      </c>
      <c r="J217" s="6">
        <f>(F217/(1+'Autres hypothèses'!$D$5))*('Autres hypothèses'!$D$5/(((1+'Autres hypothèses'!$D$5)^'Conduite principale d''eau'!H217-1)))</f>
        <v>1206.3951605443724</v>
      </c>
      <c r="K217" s="5">
        <v>1999</v>
      </c>
      <c r="L217" s="5">
        <f t="shared" si="18"/>
        <v>23</v>
      </c>
      <c r="M217" s="1">
        <f t="shared" si="19"/>
        <v>0.32857142857142857</v>
      </c>
      <c r="N217" s="3">
        <f t="shared" si="20"/>
        <v>40305.857142857138</v>
      </c>
      <c r="O217" s="3">
        <f t="shared" si="21"/>
        <v>82364.142857142841</v>
      </c>
    </row>
    <row r="218" spans="1:15" x14ac:dyDescent="0.25">
      <c r="A218" s="4" t="s">
        <v>1186</v>
      </c>
      <c r="B218" s="5" t="s">
        <v>2478</v>
      </c>
      <c r="C218" s="5">
        <v>150</v>
      </c>
      <c r="D218" s="5">
        <v>25.400000000000002</v>
      </c>
      <c r="E218" s="7">
        <f>VLOOKUP(C218,'Taux unitaires'!B:C,2,FALSE)</f>
        <v>1400</v>
      </c>
      <c r="F218" s="6">
        <f t="shared" si="22"/>
        <v>35560</v>
      </c>
      <c r="G218" s="5">
        <f>VLOOKUP(B218,'Durée de vie utile'!$C$8:$E$13,3,FALSE)</f>
        <v>100</v>
      </c>
      <c r="H218" s="5">
        <f>VLOOKUP(B218,'Durée de vie utile'!$C$8:$D$13,2,FALSE)</f>
        <v>70</v>
      </c>
      <c r="I218" s="6">
        <f t="shared" si="23"/>
        <v>508</v>
      </c>
      <c r="J218" s="6">
        <f>(F218/(1+'Autres hypothèses'!$D$5))*('Autres hypothèses'!$D$5/(((1+'Autres hypothèses'!$D$5)^'Conduite principale d''eau'!H218-1)))</f>
        <v>349.71396355227756</v>
      </c>
      <c r="K218" s="5">
        <v>2000</v>
      </c>
      <c r="L218" s="5">
        <f t="shared" si="18"/>
        <v>22</v>
      </c>
      <c r="M218" s="1">
        <f t="shared" si="19"/>
        <v>0.31428571428571428</v>
      </c>
      <c r="N218" s="3">
        <f t="shared" si="20"/>
        <v>11176</v>
      </c>
      <c r="O218" s="3">
        <f t="shared" si="21"/>
        <v>24384</v>
      </c>
    </row>
    <row r="219" spans="1:15" x14ac:dyDescent="0.25">
      <c r="A219" s="4" t="s">
        <v>1187</v>
      </c>
      <c r="B219" s="5" t="s">
        <v>2479</v>
      </c>
      <c r="C219" s="5">
        <v>200</v>
      </c>
      <c r="D219" s="5">
        <v>88.199999999999989</v>
      </c>
      <c r="E219" s="7">
        <f>VLOOKUP(C219,'Taux unitaires'!B:C,2,FALSE)</f>
        <v>1450</v>
      </c>
      <c r="F219" s="6">
        <f t="shared" si="22"/>
        <v>127889.99999999999</v>
      </c>
      <c r="G219" s="5">
        <f>VLOOKUP(B219,'Durée de vie utile'!$C$8:$E$13,3,FALSE)</f>
        <v>125</v>
      </c>
      <c r="H219" s="5">
        <f>VLOOKUP(B219,'Durée de vie utile'!$C$8:$D$13,2,FALSE)</f>
        <v>80</v>
      </c>
      <c r="I219" s="6">
        <f t="shared" si="23"/>
        <v>1598.6249999999998</v>
      </c>
      <c r="J219" s="6">
        <f>(F219/(1+'Autres hypothèses'!$D$5))*('Autres hypothèses'!$D$5/(((1+'Autres hypothèses'!$D$5)^'Conduite principale d''eau'!H219-1)))</f>
        <v>1040.7017236805141</v>
      </c>
      <c r="K219" s="5">
        <v>2001</v>
      </c>
      <c r="L219" s="5">
        <f t="shared" si="18"/>
        <v>21</v>
      </c>
      <c r="M219" s="1">
        <f t="shared" si="19"/>
        <v>0.26250000000000001</v>
      </c>
      <c r="N219" s="3">
        <f t="shared" si="20"/>
        <v>33571.125</v>
      </c>
      <c r="O219" s="3">
        <f t="shared" si="21"/>
        <v>94318.874999999985</v>
      </c>
    </row>
    <row r="220" spans="1:15" x14ac:dyDescent="0.25">
      <c r="A220" s="4" t="s">
        <v>1188</v>
      </c>
      <c r="B220" s="5" t="s">
        <v>2480</v>
      </c>
      <c r="C220" s="5">
        <v>150</v>
      </c>
      <c r="D220" s="5">
        <v>96.3</v>
      </c>
      <c r="E220" s="7">
        <f>VLOOKUP(C220,'Taux unitaires'!B:C,2,FALSE)</f>
        <v>1400</v>
      </c>
      <c r="F220" s="6">
        <f t="shared" si="22"/>
        <v>134820</v>
      </c>
      <c r="G220" s="5">
        <f>VLOOKUP(B220,'Durée de vie utile'!$C$8:$E$13,3,FALSE)</f>
        <v>125</v>
      </c>
      <c r="H220" s="5">
        <f>VLOOKUP(B220,'Durée de vie utile'!$C$8:$D$13,2,FALSE)</f>
        <v>80</v>
      </c>
      <c r="I220" s="6">
        <f t="shared" si="23"/>
        <v>1685.25</v>
      </c>
      <c r="J220" s="6">
        <f>(F220/(1+'Autres hypothèses'!$D$5))*('Autres hypothèses'!$D$5/(((1+'Autres hypothèses'!$D$5)^'Conduite principale d''eau'!H220-1)))</f>
        <v>1097.0944279193598</v>
      </c>
      <c r="K220" s="5">
        <v>2001</v>
      </c>
      <c r="L220" s="5">
        <f t="shared" si="18"/>
        <v>21</v>
      </c>
      <c r="M220" s="1">
        <f t="shared" si="19"/>
        <v>0.26250000000000001</v>
      </c>
      <c r="N220" s="3">
        <f t="shared" si="20"/>
        <v>35390.25</v>
      </c>
      <c r="O220" s="3">
        <f t="shared" si="21"/>
        <v>99429.75</v>
      </c>
    </row>
    <row r="221" spans="1:15" x14ac:dyDescent="0.25">
      <c r="A221" s="4" t="s">
        <v>1189</v>
      </c>
      <c r="B221" s="5" t="s">
        <v>2481</v>
      </c>
      <c r="C221" s="5">
        <v>200</v>
      </c>
      <c r="D221" s="5">
        <v>66.099999999999994</v>
      </c>
      <c r="E221" s="7">
        <f>VLOOKUP(C221,'Taux unitaires'!B:C,2,FALSE)</f>
        <v>1450</v>
      </c>
      <c r="F221" s="6">
        <f t="shared" si="22"/>
        <v>95844.999999999985</v>
      </c>
      <c r="G221" s="5">
        <f>VLOOKUP(B221,'Durée de vie utile'!$C$8:$E$13,3,FALSE)</f>
        <v>125</v>
      </c>
      <c r="H221" s="5">
        <f>VLOOKUP(B221,'Durée de vie utile'!$C$8:$D$13,2,FALSE)</f>
        <v>80</v>
      </c>
      <c r="I221" s="6">
        <f t="shared" si="23"/>
        <v>1198.0624999999998</v>
      </c>
      <c r="J221" s="6">
        <f>(F221/(1+'Autres hypothèses'!$D$5))*('Autres hypothèses'!$D$5/(((1+'Autres hypothèses'!$D$5)^'Conduite principale d''eau'!H221-1)))</f>
        <v>779.93632579684777</v>
      </c>
      <c r="K221" s="5">
        <v>2004</v>
      </c>
      <c r="L221" s="5">
        <f t="shared" si="18"/>
        <v>18</v>
      </c>
      <c r="M221" s="1">
        <f t="shared" si="19"/>
        <v>0.22500000000000001</v>
      </c>
      <c r="N221" s="3">
        <f t="shared" si="20"/>
        <v>21565.124999999996</v>
      </c>
      <c r="O221" s="3">
        <f t="shared" si="21"/>
        <v>74279.874999999985</v>
      </c>
    </row>
    <row r="222" spans="1:15" x14ac:dyDescent="0.25">
      <c r="A222" s="4" t="s">
        <v>1190</v>
      </c>
      <c r="B222" s="5" t="s">
        <v>2482</v>
      </c>
      <c r="C222" s="5">
        <v>150</v>
      </c>
      <c r="D222" s="5">
        <v>36.300000000000004</v>
      </c>
      <c r="E222" s="7">
        <f>VLOOKUP(C222,'Taux unitaires'!B:C,2,FALSE)</f>
        <v>1400</v>
      </c>
      <c r="F222" s="6">
        <f t="shared" si="22"/>
        <v>50820.000000000007</v>
      </c>
      <c r="G222" s="5">
        <f>VLOOKUP(B222,'Durée de vie utile'!$C$8:$E$13,3,FALSE)</f>
        <v>125</v>
      </c>
      <c r="H222" s="5">
        <f>VLOOKUP(B222,'Durée de vie utile'!$C$8:$D$13,2,FALSE)</f>
        <v>80</v>
      </c>
      <c r="I222" s="6">
        <f t="shared" si="23"/>
        <v>635.25000000000011</v>
      </c>
      <c r="J222" s="6">
        <f>(F222/(1+'Autres hypothèses'!$D$5))*('Autres hypothèses'!$D$5/(((1+'Autres hypothèses'!$D$5)^'Conduite principale d''eau'!H222-1)))</f>
        <v>413.54649775153445</v>
      </c>
      <c r="K222" s="5">
        <v>2005</v>
      </c>
      <c r="L222" s="5">
        <f t="shared" si="18"/>
        <v>17</v>
      </c>
      <c r="M222" s="1">
        <f t="shared" si="19"/>
        <v>0.21249999999999999</v>
      </c>
      <c r="N222" s="3">
        <f t="shared" si="20"/>
        <v>10799.250000000002</v>
      </c>
      <c r="O222" s="3">
        <f t="shared" si="21"/>
        <v>40020.750000000007</v>
      </c>
    </row>
    <row r="223" spans="1:15" x14ac:dyDescent="0.25">
      <c r="A223" s="4" t="s">
        <v>1191</v>
      </c>
      <c r="B223" s="5" t="s">
        <v>2483</v>
      </c>
      <c r="C223" s="5">
        <v>150</v>
      </c>
      <c r="D223" s="5">
        <v>70.5</v>
      </c>
      <c r="E223" s="7">
        <f>VLOOKUP(C223,'Taux unitaires'!B:C,2,FALSE)</f>
        <v>1400</v>
      </c>
      <c r="F223" s="6">
        <f t="shared" si="22"/>
        <v>98700</v>
      </c>
      <c r="G223" s="5">
        <f>VLOOKUP(B223,'Durée de vie utile'!$C$8:$E$13,3,FALSE)</f>
        <v>125</v>
      </c>
      <c r="H223" s="5">
        <f>VLOOKUP(B223,'Durée de vie utile'!$C$8:$D$13,2,FALSE)</f>
        <v>80</v>
      </c>
      <c r="I223" s="6">
        <f t="shared" si="23"/>
        <v>1233.75</v>
      </c>
      <c r="J223" s="6">
        <f>(F223/(1+'Autres hypothèses'!$D$5))*('Autres hypothèses'!$D$5/(((1+'Autres hypothèses'!$D$5)^'Conduite principale d''eau'!H223-1)))</f>
        <v>803.16881794719484</v>
      </c>
      <c r="K223" s="5">
        <v>2005</v>
      </c>
      <c r="L223" s="5">
        <f t="shared" si="18"/>
        <v>17</v>
      </c>
      <c r="M223" s="1">
        <f t="shared" si="19"/>
        <v>0.21249999999999999</v>
      </c>
      <c r="N223" s="3">
        <f t="shared" si="20"/>
        <v>20973.75</v>
      </c>
      <c r="O223" s="3">
        <f t="shared" si="21"/>
        <v>77726.25</v>
      </c>
    </row>
    <row r="224" spans="1:15" x14ac:dyDescent="0.25">
      <c r="A224" s="4" t="s">
        <v>1192</v>
      </c>
      <c r="B224" s="5" t="s">
        <v>2484</v>
      </c>
      <c r="C224" s="5">
        <v>200</v>
      </c>
      <c r="D224" s="5">
        <v>31.1</v>
      </c>
      <c r="E224" s="7">
        <f>VLOOKUP(C224,'Taux unitaires'!B:C,2,FALSE)</f>
        <v>1450</v>
      </c>
      <c r="F224" s="6">
        <f t="shared" si="22"/>
        <v>45095</v>
      </c>
      <c r="G224" s="5">
        <f>VLOOKUP(B224,'Durée de vie utile'!$C$8:$E$13,3,FALSE)</f>
        <v>125</v>
      </c>
      <c r="H224" s="5">
        <f>VLOOKUP(B224,'Durée de vie utile'!$C$8:$D$13,2,FALSE)</f>
        <v>80</v>
      </c>
      <c r="I224" s="6">
        <f t="shared" si="23"/>
        <v>563.6875</v>
      </c>
      <c r="J224" s="6">
        <f>(F224/(1+'Autres hypothèses'!$D$5))*('Autres hypothèses'!$D$5/(((1+'Autres hypothèses'!$D$5)^'Conduite principale d''eau'!H224-1)))</f>
        <v>366.95945132045341</v>
      </c>
      <c r="K224" s="5">
        <v>2005</v>
      </c>
      <c r="L224" s="5">
        <f t="shared" si="18"/>
        <v>17</v>
      </c>
      <c r="M224" s="1">
        <f t="shared" si="19"/>
        <v>0.21249999999999999</v>
      </c>
      <c r="N224" s="3">
        <f t="shared" si="20"/>
        <v>9582.6875</v>
      </c>
      <c r="O224" s="3">
        <f t="shared" si="21"/>
        <v>35512.3125</v>
      </c>
    </row>
    <row r="225" spans="1:15" x14ac:dyDescent="0.25">
      <c r="A225" s="4" t="s">
        <v>1193</v>
      </c>
      <c r="B225" s="5" t="s">
        <v>2485</v>
      </c>
      <c r="C225" s="5">
        <v>200</v>
      </c>
      <c r="D225" s="5">
        <v>3.3000000000000003</v>
      </c>
      <c r="E225" s="7">
        <f>VLOOKUP(C225,'Taux unitaires'!B:C,2,FALSE)</f>
        <v>1450</v>
      </c>
      <c r="F225" s="6">
        <f t="shared" si="22"/>
        <v>4785</v>
      </c>
      <c r="G225" s="5">
        <f>VLOOKUP(B225,'Durée de vie utile'!$C$8:$E$13,3,FALSE)</f>
        <v>125</v>
      </c>
      <c r="H225" s="5">
        <f>VLOOKUP(B225,'Durée de vie utile'!$C$8:$D$13,2,FALSE)</f>
        <v>80</v>
      </c>
      <c r="I225" s="6">
        <f t="shared" si="23"/>
        <v>59.8125</v>
      </c>
      <c r="J225" s="6">
        <f>(F225/(1+'Autres hypothèses'!$D$5))*('Autres hypothèses'!$D$5/(((1+'Autres hypothèses'!$D$5)^'Conduite principale d''eau'!H225-1)))</f>
        <v>38.937819593488619</v>
      </c>
      <c r="K225" s="5">
        <v>2005</v>
      </c>
      <c r="L225" s="5">
        <f t="shared" si="18"/>
        <v>17</v>
      </c>
      <c r="M225" s="1">
        <f t="shared" si="19"/>
        <v>0.21249999999999999</v>
      </c>
      <c r="N225" s="3">
        <f t="shared" si="20"/>
        <v>1016.8125</v>
      </c>
      <c r="O225" s="3">
        <f t="shared" si="21"/>
        <v>3768.1875</v>
      </c>
    </row>
    <row r="226" spans="1:15" x14ac:dyDescent="0.25">
      <c r="A226" s="4" t="s">
        <v>1194</v>
      </c>
      <c r="B226" s="5" t="s">
        <v>2486</v>
      </c>
      <c r="C226" s="5">
        <v>200</v>
      </c>
      <c r="D226" s="5">
        <v>60.5</v>
      </c>
      <c r="E226" s="7">
        <f>VLOOKUP(C226,'Taux unitaires'!B:C,2,FALSE)</f>
        <v>1450</v>
      </c>
      <c r="F226" s="6">
        <f t="shared" si="22"/>
        <v>87725</v>
      </c>
      <c r="G226" s="5">
        <f>VLOOKUP(B226,'Durée de vie utile'!$C$8:$E$13,3,FALSE)</f>
        <v>125</v>
      </c>
      <c r="H226" s="5">
        <f>VLOOKUP(B226,'Durée de vie utile'!$C$8:$D$13,2,FALSE)</f>
        <v>80</v>
      </c>
      <c r="I226" s="6">
        <f t="shared" si="23"/>
        <v>1096.5625</v>
      </c>
      <c r="J226" s="6">
        <f>(F226/(1+'Autres hypothèses'!$D$5))*('Autres hypothèses'!$D$5/(((1+'Autres hypothèses'!$D$5)^'Conduite principale d''eau'!H226-1)))</f>
        <v>713.86002588062479</v>
      </c>
      <c r="K226" s="5">
        <v>2005</v>
      </c>
      <c r="L226" s="5">
        <f t="shared" si="18"/>
        <v>17</v>
      </c>
      <c r="M226" s="1">
        <f t="shared" si="19"/>
        <v>0.21249999999999999</v>
      </c>
      <c r="N226" s="3">
        <f t="shared" si="20"/>
        <v>18641.5625</v>
      </c>
      <c r="O226" s="3">
        <f t="shared" si="21"/>
        <v>69083.4375</v>
      </c>
    </row>
    <row r="227" spans="1:15" x14ac:dyDescent="0.25">
      <c r="A227" s="4" t="s">
        <v>1195</v>
      </c>
      <c r="B227" s="5" t="s">
        <v>2487</v>
      </c>
      <c r="C227" s="5">
        <v>200</v>
      </c>
      <c r="D227" s="5">
        <v>84.3</v>
      </c>
      <c r="E227" s="7">
        <f>VLOOKUP(C227,'Taux unitaires'!B:C,2,FALSE)</f>
        <v>1450</v>
      </c>
      <c r="F227" s="6">
        <f t="shared" si="22"/>
        <v>122235</v>
      </c>
      <c r="G227" s="5">
        <f>VLOOKUP(B227,'Durée de vie utile'!$C$8:$E$13,3,FALSE)</f>
        <v>125</v>
      </c>
      <c r="H227" s="5">
        <f>VLOOKUP(B227,'Durée de vie utile'!$C$8:$D$13,2,FALSE)</f>
        <v>80</v>
      </c>
      <c r="I227" s="6">
        <f t="shared" si="23"/>
        <v>1527.9375</v>
      </c>
      <c r="J227" s="6">
        <f>(F227/(1+'Autres hypothèses'!$D$5))*('Autres hypothèses'!$D$5/(((1+'Autres hypothèses'!$D$5)^'Conduite principale d''eau'!H227-1)))</f>
        <v>994.68430052457313</v>
      </c>
      <c r="K227" s="5">
        <v>2005</v>
      </c>
      <c r="L227" s="5">
        <f t="shared" si="18"/>
        <v>17</v>
      </c>
      <c r="M227" s="1">
        <f t="shared" si="19"/>
        <v>0.21249999999999999</v>
      </c>
      <c r="N227" s="3">
        <f t="shared" si="20"/>
        <v>25974.9375</v>
      </c>
      <c r="O227" s="3">
        <f t="shared" si="21"/>
        <v>96260.0625</v>
      </c>
    </row>
    <row r="228" spans="1:15" x14ac:dyDescent="0.25">
      <c r="A228" s="4" t="s">
        <v>1196</v>
      </c>
      <c r="B228" s="5" t="s">
        <v>2488</v>
      </c>
      <c r="C228" s="5">
        <v>150</v>
      </c>
      <c r="D228" s="5">
        <v>31.1</v>
      </c>
      <c r="E228" s="7">
        <f>VLOOKUP(C228,'Taux unitaires'!B:C,2,FALSE)</f>
        <v>1400</v>
      </c>
      <c r="F228" s="6">
        <f t="shared" si="22"/>
        <v>43540</v>
      </c>
      <c r="G228" s="5">
        <f>VLOOKUP(B228,'Durée de vie utile'!$C$8:$E$13,3,FALSE)</f>
        <v>125</v>
      </c>
      <c r="H228" s="5">
        <f>VLOOKUP(B228,'Durée de vie utile'!$C$8:$D$13,2,FALSE)</f>
        <v>80</v>
      </c>
      <c r="I228" s="6">
        <f t="shared" si="23"/>
        <v>544.25</v>
      </c>
      <c r="J228" s="6">
        <f>(F228/(1+'Autres hypothèses'!$D$5))*('Autres hypothèses'!$D$5/(((1+'Autres hypothèses'!$D$5)^'Conduite principale d''eau'!H228-1)))</f>
        <v>354.30567713698946</v>
      </c>
      <c r="K228" s="5">
        <v>2005</v>
      </c>
      <c r="L228" s="5">
        <f t="shared" si="18"/>
        <v>17</v>
      </c>
      <c r="M228" s="1">
        <f t="shared" si="19"/>
        <v>0.21249999999999999</v>
      </c>
      <c r="N228" s="3">
        <f t="shared" si="20"/>
        <v>9252.25</v>
      </c>
      <c r="O228" s="3">
        <f t="shared" si="21"/>
        <v>34287.75</v>
      </c>
    </row>
    <row r="229" spans="1:15" x14ac:dyDescent="0.25">
      <c r="A229" s="4" t="s">
        <v>1197</v>
      </c>
      <c r="B229" s="5" t="s">
        <v>2489</v>
      </c>
      <c r="C229" s="5">
        <v>200</v>
      </c>
      <c r="D229" s="5">
        <v>93.899999999999991</v>
      </c>
      <c r="E229" s="7">
        <f>VLOOKUP(C229,'Taux unitaires'!B:C,2,FALSE)</f>
        <v>1450</v>
      </c>
      <c r="F229" s="6">
        <f t="shared" si="22"/>
        <v>136155</v>
      </c>
      <c r="G229" s="5">
        <f>VLOOKUP(B229,'Durée de vie utile'!$C$8:$E$13,3,FALSE)</f>
        <v>125</v>
      </c>
      <c r="H229" s="5">
        <f>VLOOKUP(B229,'Durée de vie utile'!$C$8:$D$13,2,FALSE)</f>
        <v>80</v>
      </c>
      <c r="I229" s="6">
        <f t="shared" si="23"/>
        <v>1701.9375</v>
      </c>
      <c r="J229" s="6">
        <f>(F229/(1+'Autres hypothèses'!$D$5))*('Autres hypothèses'!$D$5/(((1+'Autres hypothèses'!$D$5)^'Conduite principale d''eau'!H229-1)))</f>
        <v>1107.9579575238126</v>
      </c>
      <c r="K229" s="5">
        <v>2009</v>
      </c>
      <c r="L229" s="5">
        <f t="shared" si="18"/>
        <v>13</v>
      </c>
      <c r="M229" s="1">
        <f t="shared" si="19"/>
        <v>0.16250000000000001</v>
      </c>
      <c r="N229" s="3">
        <f t="shared" si="20"/>
        <v>22125.1875</v>
      </c>
      <c r="O229" s="3">
        <f t="shared" si="21"/>
        <v>114029.8125</v>
      </c>
    </row>
    <row r="230" spans="1:15" x14ac:dyDescent="0.25">
      <c r="A230" s="4" t="s">
        <v>1198</v>
      </c>
      <c r="B230" s="5" t="s">
        <v>2490</v>
      </c>
      <c r="C230" s="5">
        <v>150</v>
      </c>
      <c r="D230" s="5">
        <v>66.3</v>
      </c>
      <c r="E230" s="7">
        <f>VLOOKUP(C230,'Taux unitaires'!B:C,2,FALSE)</f>
        <v>1400</v>
      </c>
      <c r="F230" s="6">
        <f t="shared" si="22"/>
        <v>92820</v>
      </c>
      <c r="G230" s="5">
        <f>VLOOKUP(B230,'Durée de vie utile'!$C$8:$E$13,3,FALSE)</f>
        <v>125</v>
      </c>
      <c r="H230" s="5">
        <f>VLOOKUP(B230,'Durée de vie utile'!$C$8:$D$13,2,FALSE)</f>
        <v>80</v>
      </c>
      <c r="I230" s="6">
        <f t="shared" si="23"/>
        <v>1160.25</v>
      </c>
      <c r="J230" s="6">
        <f>(F230/(1+'Autres hypothèses'!$D$5))*('Autres hypothèses'!$D$5/(((1+'Autres hypothèses'!$D$5)^'Conduite principale d''eau'!H230-1)))</f>
        <v>755.32046283544707</v>
      </c>
      <c r="K230" s="5">
        <v>2009</v>
      </c>
      <c r="L230" s="5">
        <f t="shared" si="18"/>
        <v>13</v>
      </c>
      <c r="M230" s="1">
        <f t="shared" si="19"/>
        <v>0.16250000000000001</v>
      </c>
      <c r="N230" s="3">
        <f t="shared" si="20"/>
        <v>15083.25</v>
      </c>
      <c r="O230" s="3">
        <f t="shared" si="21"/>
        <v>77736.75</v>
      </c>
    </row>
    <row r="231" spans="1:15" x14ac:dyDescent="0.25">
      <c r="A231" s="4" t="s">
        <v>1199</v>
      </c>
      <c r="B231" s="5" t="s">
        <v>2491</v>
      </c>
      <c r="C231" s="5">
        <v>150</v>
      </c>
      <c r="D231" s="5">
        <v>61.300000000000004</v>
      </c>
      <c r="E231" s="7">
        <f>VLOOKUP(C231,'Taux unitaires'!B:C,2,FALSE)</f>
        <v>1400</v>
      </c>
      <c r="F231" s="6">
        <f t="shared" si="22"/>
        <v>85820</v>
      </c>
      <c r="G231" s="5">
        <f>VLOOKUP(B231,'Durée de vie utile'!$C$8:$E$13,3,FALSE)</f>
        <v>125</v>
      </c>
      <c r="H231" s="5">
        <f>VLOOKUP(B231,'Durée de vie utile'!$C$8:$D$13,2,FALSE)</f>
        <v>80</v>
      </c>
      <c r="I231" s="6">
        <f t="shared" si="23"/>
        <v>1072.75</v>
      </c>
      <c r="J231" s="6">
        <f>(F231/(1+'Autres hypothèses'!$D$5))*('Autres hypothèses'!$D$5/(((1+'Autres hypothèses'!$D$5)^'Conduite principale d''eau'!H231-1)))</f>
        <v>698.35813532146153</v>
      </c>
      <c r="K231" s="5">
        <v>2009</v>
      </c>
      <c r="L231" s="5">
        <f t="shared" si="18"/>
        <v>13</v>
      </c>
      <c r="M231" s="1">
        <f t="shared" si="19"/>
        <v>0.16250000000000001</v>
      </c>
      <c r="N231" s="3">
        <f t="shared" si="20"/>
        <v>13945.75</v>
      </c>
      <c r="O231" s="3">
        <f t="shared" si="21"/>
        <v>71874.25</v>
      </c>
    </row>
    <row r="232" spans="1:15" x14ac:dyDescent="0.25">
      <c r="A232" s="4" t="s">
        <v>1200</v>
      </c>
      <c r="B232" s="5" t="s">
        <v>2492</v>
      </c>
      <c r="C232" s="5">
        <v>150</v>
      </c>
      <c r="D232" s="5">
        <v>83.199999999999989</v>
      </c>
      <c r="E232" s="7">
        <f>VLOOKUP(C232,'Taux unitaires'!B:C,2,FALSE)</f>
        <v>1400</v>
      </c>
      <c r="F232" s="6">
        <f t="shared" si="22"/>
        <v>116479.99999999999</v>
      </c>
      <c r="G232" s="5">
        <f>VLOOKUP(B232,'Durée de vie utile'!$C$8:$E$13,3,FALSE)</f>
        <v>125</v>
      </c>
      <c r="H232" s="5">
        <f>VLOOKUP(B232,'Durée de vie utile'!$C$8:$D$13,2,FALSE)</f>
        <v>80</v>
      </c>
      <c r="I232" s="6">
        <f t="shared" si="23"/>
        <v>1455.9999999999998</v>
      </c>
      <c r="J232" s="6">
        <f>(F232/(1+'Autres hypothèses'!$D$5))*('Autres hypothèses'!$D$5/(((1+'Autres hypothèses'!$D$5)^'Conduite principale d''eau'!H232-1)))</f>
        <v>947.85312983271774</v>
      </c>
      <c r="K232" s="5">
        <v>2009</v>
      </c>
      <c r="L232" s="5">
        <f t="shared" si="18"/>
        <v>13</v>
      </c>
      <c r="M232" s="1">
        <f t="shared" si="19"/>
        <v>0.16250000000000001</v>
      </c>
      <c r="N232" s="3">
        <f t="shared" si="20"/>
        <v>18928</v>
      </c>
      <c r="O232" s="3">
        <f t="shared" si="21"/>
        <v>97551.999999999985</v>
      </c>
    </row>
    <row r="233" spans="1:15" x14ac:dyDescent="0.25">
      <c r="A233" s="4" t="s">
        <v>1201</v>
      </c>
      <c r="B233" s="5" t="s">
        <v>2493</v>
      </c>
      <c r="C233" s="5">
        <v>200</v>
      </c>
      <c r="D233" s="5">
        <v>67.099999999999994</v>
      </c>
      <c r="E233" s="7">
        <f>VLOOKUP(C233,'Taux unitaires'!B:C,2,FALSE)</f>
        <v>1450</v>
      </c>
      <c r="F233" s="6">
        <f t="shared" si="22"/>
        <v>97294.999999999985</v>
      </c>
      <c r="G233" s="5">
        <f>VLOOKUP(B233,'Durée de vie utile'!$C$8:$E$13,3,FALSE)</f>
        <v>125</v>
      </c>
      <c r="H233" s="5">
        <f>VLOOKUP(B233,'Durée de vie utile'!$C$8:$D$13,2,FALSE)</f>
        <v>80</v>
      </c>
      <c r="I233" s="6">
        <f t="shared" si="23"/>
        <v>1216.1874999999998</v>
      </c>
      <c r="J233" s="6">
        <f>(F233/(1+'Autres hypothèses'!$D$5))*('Autres hypothèses'!$D$5/(((1+'Autres hypothèses'!$D$5)^'Conduite principale d''eau'!H233-1)))</f>
        <v>791.73566506760187</v>
      </c>
      <c r="K233" s="5">
        <v>2010</v>
      </c>
      <c r="L233" s="5">
        <f t="shared" si="18"/>
        <v>12</v>
      </c>
      <c r="M233" s="1">
        <f t="shared" si="19"/>
        <v>0.15</v>
      </c>
      <c r="N233" s="3">
        <f t="shared" si="20"/>
        <v>14594.249999999998</v>
      </c>
      <c r="O233" s="3">
        <f t="shared" si="21"/>
        <v>82700.749999999985</v>
      </c>
    </row>
    <row r="234" spans="1:15" x14ac:dyDescent="0.25">
      <c r="A234" s="4" t="s">
        <v>1202</v>
      </c>
      <c r="B234" s="5" t="s">
        <v>2494</v>
      </c>
      <c r="C234" s="5">
        <v>200</v>
      </c>
      <c r="D234" s="5">
        <v>60.9</v>
      </c>
      <c r="E234" s="7">
        <f>VLOOKUP(C234,'Taux unitaires'!B:C,2,FALSE)</f>
        <v>1450</v>
      </c>
      <c r="F234" s="6">
        <f t="shared" si="22"/>
        <v>88305</v>
      </c>
      <c r="G234" s="5">
        <f>VLOOKUP(B234,'Durée de vie utile'!$C$8:$E$13,3,FALSE)</f>
        <v>125</v>
      </c>
      <c r="H234" s="5">
        <f>VLOOKUP(B234,'Durée de vie utile'!$C$8:$D$13,2,FALSE)</f>
        <v>80</v>
      </c>
      <c r="I234" s="6">
        <f t="shared" si="23"/>
        <v>1103.8125</v>
      </c>
      <c r="J234" s="6">
        <f>(F234/(1+'Autres hypothèses'!$D$5))*('Autres hypothèses'!$D$5/(((1+'Autres hypothèses'!$D$5)^'Conduite principale d''eau'!H234-1)))</f>
        <v>718.57976158892643</v>
      </c>
      <c r="K234" s="5">
        <v>2012</v>
      </c>
      <c r="L234" s="5">
        <f t="shared" si="18"/>
        <v>10</v>
      </c>
      <c r="M234" s="1">
        <f t="shared" si="19"/>
        <v>0.125</v>
      </c>
      <c r="N234" s="3">
        <f t="shared" si="20"/>
        <v>11038.125</v>
      </c>
      <c r="O234" s="3">
        <f t="shared" si="21"/>
        <v>77266.875</v>
      </c>
    </row>
    <row r="235" spans="1:15" x14ac:dyDescent="0.25">
      <c r="A235" s="4" t="s">
        <v>1203</v>
      </c>
      <c r="B235" s="5" t="s">
        <v>2495</v>
      </c>
      <c r="C235" s="5">
        <v>200</v>
      </c>
      <c r="D235" s="5">
        <v>57.300000000000004</v>
      </c>
      <c r="E235" s="7">
        <f>VLOOKUP(C235,'Taux unitaires'!B:C,2,FALSE)</f>
        <v>1450</v>
      </c>
      <c r="F235" s="6">
        <f t="shared" si="22"/>
        <v>83085</v>
      </c>
      <c r="G235" s="5">
        <f>VLOOKUP(B235,'Durée de vie utile'!$C$8:$E$13,3,FALSE)</f>
        <v>125</v>
      </c>
      <c r="H235" s="5">
        <f>VLOOKUP(B235,'Durée de vie utile'!$C$8:$D$13,2,FALSE)</f>
        <v>80</v>
      </c>
      <c r="I235" s="6">
        <f t="shared" si="23"/>
        <v>1038.5625</v>
      </c>
      <c r="J235" s="6">
        <f>(F235/(1+'Autres hypothèses'!$D$5))*('Autres hypothèses'!$D$5/(((1+'Autres hypothèses'!$D$5)^'Conduite principale d''eau'!H235-1)))</f>
        <v>676.10214021421154</v>
      </c>
      <c r="K235" s="5">
        <v>2012</v>
      </c>
      <c r="L235" s="5">
        <f t="shared" si="18"/>
        <v>10</v>
      </c>
      <c r="M235" s="1">
        <f t="shared" si="19"/>
        <v>0.125</v>
      </c>
      <c r="N235" s="3">
        <f t="shared" si="20"/>
        <v>10385.625</v>
      </c>
      <c r="O235" s="3">
        <f t="shared" si="21"/>
        <v>72699.375</v>
      </c>
    </row>
    <row r="236" spans="1:15" x14ac:dyDescent="0.25">
      <c r="A236" s="4" t="s">
        <v>1204</v>
      </c>
      <c r="B236" s="5" t="s">
        <v>2496</v>
      </c>
      <c r="C236" s="5">
        <v>150</v>
      </c>
      <c r="D236" s="5">
        <v>51.7</v>
      </c>
      <c r="E236" s="7">
        <f>VLOOKUP(C236,'Taux unitaires'!B:C,2,FALSE)</f>
        <v>1400</v>
      </c>
      <c r="F236" s="6">
        <f t="shared" si="22"/>
        <v>72380</v>
      </c>
      <c r="G236" s="5">
        <f>VLOOKUP(B236,'Durée de vie utile'!$C$8:$E$13,3,FALSE)</f>
        <v>125</v>
      </c>
      <c r="H236" s="5">
        <f>VLOOKUP(B236,'Durée de vie utile'!$C$8:$D$13,2,FALSE)</f>
        <v>80</v>
      </c>
      <c r="I236" s="6">
        <f t="shared" si="23"/>
        <v>904.75</v>
      </c>
      <c r="J236" s="6">
        <f>(F236/(1+'Autres hypothèses'!$D$5))*('Autres hypothèses'!$D$5/(((1+'Autres hypothèses'!$D$5)^'Conduite principale d''eau'!H236-1)))</f>
        <v>588.99046649460956</v>
      </c>
      <c r="K236" s="5">
        <v>2014</v>
      </c>
      <c r="L236" s="5">
        <f t="shared" si="18"/>
        <v>8</v>
      </c>
      <c r="M236" s="1">
        <f t="shared" si="19"/>
        <v>0.1</v>
      </c>
      <c r="N236" s="3">
        <f t="shared" si="20"/>
        <v>7238</v>
      </c>
      <c r="O236" s="3">
        <f t="shared" si="21"/>
        <v>65142</v>
      </c>
    </row>
    <row r="237" spans="1:15" x14ac:dyDescent="0.25">
      <c r="A237" s="4" t="s">
        <v>1205</v>
      </c>
      <c r="B237" s="5" t="s">
        <v>2497</v>
      </c>
      <c r="C237" s="5">
        <v>150</v>
      </c>
      <c r="D237" s="5">
        <v>80.399999999999991</v>
      </c>
      <c r="E237" s="7">
        <f>VLOOKUP(C237,'Taux unitaires'!B:C,2,FALSE)</f>
        <v>1400</v>
      </c>
      <c r="F237" s="6">
        <f t="shared" si="22"/>
        <v>112559.99999999999</v>
      </c>
      <c r="G237" s="5">
        <f>VLOOKUP(B237,'Durée de vie utile'!$C$8:$E$13,3,FALSE)</f>
        <v>125</v>
      </c>
      <c r="H237" s="5">
        <f>VLOOKUP(B237,'Durée de vie utile'!$C$8:$D$13,2,FALSE)</f>
        <v>80</v>
      </c>
      <c r="I237" s="6">
        <f t="shared" si="23"/>
        <v>1406.9999999999998</v>
      </c>
      <c r="J237" s="6">
        <f>(F237/(1+'Autres hypothèses'!$D$5))*('Autres hypothèses'!$D$5/(((1+'Autres hypothèses'!$D$5)^'Conduite principale d''eau'!H237-1)))</f>
        <v>915.95422642488586</v>
      </c>
      <c r="K237" s="5">
        <v>2014</v>
      </c>
      <c r="L237" s="5">
        <f t="shared" si="18"/>
        <v>8</v>
      </c>
      <c r="M237" s="1">
        <f t="shared" si="19"/>
        <v>0.1</v>
      </c>
      <c r="N237" s="3">
        <f t="shared" si="20"/>
        <v>11256</v>
      </c>
      <c r="O237" s="3">
        <f t="shared" si="21"/>
        <v>101303.99999999999</v>
      </c>
    </row>
    <row r="238" spans="1:15" x14ac:dyDescent="0.25">
      <c r="A238" s="4" t="s">
        <v>1206</v>
      </c>
      <c r="B238" s="5" t="s">
        <v>2498</v>
      </c>
      <c r="C238" s="5">
        <v>200</v>
      </c>
      <c r="D238" s="5">
        <v>51.7</v>
      </c>
      <c r="E238" s="7">
        <f>VLOOKUP(C238,'Taux unitaires'!B:C,2,FALSE)</f>
        <v>1450</v>
      </c>
      <c r="F238" s="6">
        <f t="shared" si="22"/>
        <v>74965</v>
      </c>
      <c r="G238" s="5">
        <f>VLOOKUP(B238,'Durée de vie utile'!$C$8:$E$13,3,FALSE)</f>
        <v>125</v>
      </c>
      <c r="H238" s="5">
        <f>VLOOKUP(B238,'Durée de vie utile'!$C$8:$D$13,2,FALSE)</f>
        <v>80</v>
      </c>
      <c r="I238" s="6">
        <f t="shared" si="23"/>
        <v>937.0625</v>
      </c>
      <c r="J238" s="6">
        <f>(F238/(1+'Autres hypothèses'!$D$5))*('Autres hypothèses'!$D$5/(((1+'Autres hypothèses'!$D$5)^'Conduite principale d''eau'!H238-1)))</f>
        <v>610.02584029798845</v>
      </c>
      <c r="K238" s="5">
        <v>2014</v>
      </c>
      <c r="L238" s="5">
        <f t="shared" si="18"/>
        <v>8</v>
      </c>
      <c r="M238" s="1">
        <f t="shared" si="19"/>
        <v>0.1</v>
      </c>
      <c r="N238" s="3">
        <f t="shared" si="20"/>
        <v>7496.5</v>
      </c>
      <c r="O238" s="3">
        <f t="shared" si="21"/>
        <v>67468.5</v>
      </c>
    </row>
    <row r="239" spans="1:15" x14ac:dyDescent="0.25">
      <c r="A239" s="4" t="s">
        <v>1207</v>
      </c>
      <c r="B239" s="5" t="s">
        <v>2499</v>
      </c>
      <c r="C239" s="5">
        <v>150</v>
      </c>
      <c r="D239" s="5">
        <v>46.2</v>
      </c>
      <c r="E239" s="7">
        <f>VLOOKUP(C239,'Taux unitaires'!B:C,2,FALSE)</f>
        <v>1400</v>
      </c>
      <c r="F239" s="6">
        <f t="shared" si="22"/>
        <v>64680.000000000007</v>
      </c>
      <c r="G239" s="5">
        <f>VLOOKUP(B239,'Durée de vie utile'!$C$8:$E$13,3,FALSE)</f>
        <v>125</v>
      </c>
      <c r="H239" s="5">
        <f>VLOOKUP(B239,'Durée de vie utile'!$C$8:$D$13,2,FALSE)</f>
        <v>80</v>
      </c>
      <c r="I239" s="6">
        <f t="shared" si="23"/>
        <v>808.50000000000011</v>
      </c>
      <c r="J239" s="6">
        <f>(F239/(1+'Autres hypothèses'!$D$5))*('Autres hypothèses'!$D$5/(((1+'Autres hypothèses'!$D$5)^'Conduite principale d''eau'!H239-1)))</f>
        <v>526.33190622922564</v>
      </c>
      <c r="K239" s="5">
        <v>2014</v>
      </c>
      <c r="L239" s="5">
        <f t="shared" si="18"/>
        <v>8</v>
      </c>
      <c r="M239" s="1">
        <f t="shared" si="19"/>
        <v>0.1</v>
      </c>
      <c r="N239" s="3">
        <f t="shared" si="20"/>
        <v>6468.0000000000009</v>
      </c>
      <c r="O239" s="3">
        <f t="shared" si="21"/>
        <v>58212.000000000007</v>
      </c>
    </row>
    <row r="240" spans="1:15" x14ac:dyDescent="0.25">
      <c r="A240" s="4" t="s">
        <v>1208</v>
      </c>
      <c r="B240" s="5" t="s">
        <v>2500</v>
      </c>
      <c r="C240" s="5">
        <v>200</v>
      </c>
      <c r="D240" s="5">
        <v>80.699999999999989</v>
      </c>
      <c r="E240" s="7">
        <f>VLOOKUP(C240,'Taux unitaires'!B:C,2,FALSE)</f>
        <v>1450</v>
      </c>
      <c r="F240" s="6">
        <f t="shared" si="22"/>
        <v>117014.99999999999</v>
      </c>
      <c r="G240" s="5">
        <f>VLOOKUP(B240,'Durée de vie utile'!$C$8:$E$13,3,FALSE)</f>
        <v>125</v>
      </c>
      <c r="H240" s="5">
        <f>VLOOKUP(B240,'Durée de vie utile'!$C$8:$D$13,2,FALSE)</f>
        <v>80</v>
      </c>
      <c r="I240" s="6">
        <f t="shared" si="23"/>
        <v>1462.6874999999998</v>
      </c>
      <c r="J240" s="6">
        <f>(F240/(1+'Autres hypothèses'!$D$5))*('Autres hypothèses'!$D$5/(((1+'Autres hypothèses'!$D$5)^'Conduite principale d''eau'!H240-1)))</f>
        <v>952.20667914985802</v>
      </c>
      <c r="K240" s="5">
        <v>2015</v>
      </c>
      <c r="L240" s="5">
        <f t="shared" si="18"/>
        <v>7</v>
      </c>
      <c r="M240" s="1">
        <f t="shared" si="19"/>
        <v>8.7499999999999994E-2</v>
      </c>
      <c r="N240" s="3">
        <f t="shared" si="20"/>
        <v>10238.812499999998</v>
      </c>
      <c r="O240" s="3">
        <f t="shared" si="21"/>
        <v>106776.18749999999</v>
      </c>
    </row>
    <row r="241" spans="1:15" x14ac:dyDescent="0.25">
      <c r="A241" s="4" t="s">
        <v>1209</v>
      </c>
      <c r="B241" s="5" t="s">
        <v>2501</v>
      </c>
      <c r="C241" s="5">
        <v>200</v>
      </c>
      <c r="D241" s="5">
        <v>38</v>
      </c>
      <c r="E241" s="7">
        <f>VLOOKUP(C241,'Taux unitaires'!B:C,2,FALSE)</f>
        <v>1450</v>
      </c>
      <c r="F241" s="6">
        <f t="shared" si="22"/>
        <v>55100</v>
      </c>
      <c r="G241" s="5">
        <f>VLOOKUP(B241,'Durée de vie utile'!$C$8:$E$13,3,FALSE)</f>
        <v>125</v>
      </c>
      <c r="H241" s="5">
        <f>VLOOKUP(B241,'Durée de vie utile'!$C$8:$D$13,2,FALSE)</f>
        <v>80</v>
      </c>
      <c r="I241" s="6">
        <f t="shared" si="23"/>
        <v>688.75</v>
      </c>
      <c r="J241" s="6">
        <f>(F241/(1+'Autres hypothèses'!$D$5))*('Autres hypothèses'!$D$5/(((1+'Autres hypothèses'!$D$5)^'Conduite principale d''eau'!H241-1)))</f>
        <v>448.37489228865689</v>
      </c>
      <c r="K241" s="5">
        <v>2015</v>
      </c>
      <c r="L241" s="5">
        <f t="shared" si="18"/>
        <v>7</v>
      </c>
      <c r="M241" s="1">
        <f t="shared" si="19"/>
        <v>8.7499999999999994E-2</v>
      </c>
      <c r="N241" s="3">
        <f t="shared" si="20"/>
        <v>4821.25</v>
      </c>
      <c r="O241" s="3">
        <f t="shared" si="21"/>
        <v>50278.75</v>
      </c>
    </row>
    <row r="242" spans="1:15" x14ac:dyDescent="0.25">
      <c r="A242" s="4" t="s">
        <v>1210</v>
      </c>
      <c r="B242" s="5" t="s">
        <v>2502</v>
      </c>
      <c r="C242" s="5">
        <v>150</v>
      </c>
      <c r="D242" s="5">
        <v>19.600000000000001</v>
      </c>
      <c r="E242" s="7">
        <f>VLOOKUP(C242,'Taux unitaires'!B:C,2,FALSE)</f>
        <v>1400</v>
      </c>
      <c r="F242" s="6">
        <f t="shared" si="22"/>
        <v>27440.000000000004</v>
      </c>
      <c r="G242" s="5">
        <f>VLOOKUP(B242,'Durée de vie utile'!$C$8:$E$13,3,FALSE)</f>
        <v>125</v>
      </c>
      <c r="H242" s="5">
        <f>VLOOKUP(B242,'Durée de vie utile'!$C$8:$D$13,2,FALSE)</f>
        <v>80</v>
      </c>
      <c r="I242" s="6">
        <f t="shared" si="23"/>
        <v>343.00000000000006</v>
      </c>
      <c r="J242" s="6">
        <f>(F242/(1+'Autres hypothèses'!$D$5))*('Autres hypothèses'!$D$5/(((1+'Autres hypothèses'!$D$5)^'Conduite principale d''eau'!H242-1)))</f>
        <v>223.292323854823</v>
      </c>
      <c r="K242" s="5">
        <v>2015</v>
      </c>
      <c r="L242" s="5">
        <f t="shared" si="18"/>
        <v>7</v>
      </c>
      <c r="M242" s="1">
        <f t="shared" si="19"/>
        <v>8.7499999999999994E-2</v>
      </c>
      <c r="N242" s="3">
        <f t="shared" si="20"/>
        <v>2401</v>
      </c>
      <c r="O242" s="3">
        <f t="shared" si="21"/>
        <v>25039.000000000004</v>
      </c>
    </row>
    <row r="243" spans="1:15" x14ac:dyDescent="0.25">
      <c r="A243" s="4" t="s">
        <v>1211</v>
      </c>
      <c r="B243" s="5" t="s">
        <v>2503</v>
      </c>
      <c r="C243" s="5">
        <v>200</v>
      </c>
      <c r="D243" s="5">
        <v>52.7</v>
      </c>
      <c r="E243" s="7">
        <f>VLOOKUP(C243,'Taux unitaires'!B:C,2,FALSE)</f>
        <v>1450</v>
      </c>
      <c r="F243" s="6">
        <f t="shared" si="22"/>
        <v>76415</v>
      </c>
      <c r="G243" s="5">
        <f>VLOOKUP(B243,'Durée de vie utile'!$C$8:$E$13,3,FALSE)</f>
        <v>125</v>
      </c>
      <c r="H243" s="5">
        <f>VLOOKUP(B243,'Durée de vie utile'!$C$8:$D$13,2,FALSE)</f>
        <v>80</v>
      </c>
      <c r="I243" s="6">
        <f t="shared" si="23"/>
        <v>955.1875</v>
      </c>
      <c r="J243" s="6">
        <f>(F243/(1+'Autres hypothèses'!$D$5))*('Autres hypothèses'!$D$5/(((1+'Autres hypothèses'!$D$5)^'Conduite principale d''eau'!H243-1)))</f>
        <v>621.82517956874256</v>
      </c>
      <c r="K243" s="5">
        <v>2015</v>
      </c>
      <c r="L243" s="5">
        <f t="shared" si="18"/>
        <v>7</v>
      </c>
      <c r="M243" s="1">
        <f t="shared" si="19"/>
        <v>8.7499999999999994E-2</v>
      </c>
      <c r="N243" s="3">
        <f t="shared" si="20"/>
        <v>6686.3125</v>
      </c>
      <c r="O243" s="3">
        <f t="shared" si="21"/>
        <v>69728.6875</v>
      </c>
    </row>
    <row r="244" spans="1:15" x14ac:dyDescent="0.25">
      <c r="A244" s="4" t="s">
        <v>1212</v>
      </c>
      <c r="B244" s="5" t="s">
        <v>2504</v>
      </c>
      <c r="C244" s="5">
        <v>200</v>
      </c>
      <c r="D244" s="5">
        <v>71.899999999999991</v>
      </c>
      <c r="E244" s="7">
        <f>VLOOKUP(C244,'Taux unitaires'!B:C,2,FALSE)</f>
        <v>1450</v>
      </c>
      <c r="F244" s="6">
        <f t="shared" si="22"/>
        <v>104254.99999999999</v>
      </c>
      <c r="G244" s="5">
        <f>VLOOKUP(B244,'Durée de vie utile'!$C$8:$E$13,3,FALSE)</f>
        <v>125</v>
      </c>
      <c r="H244" s="5">
        <f>VLOOKUP(B244,'Durée de vie utile'!$C$8:$D$13,2,FALSE)</f>
        <v>80</v>
      </c>
      <c r="I244" s="6">
        <f t="shared" si="23"/>
        <v>1303.1874999999998</v>
      </c>
      <c r="J244" s="6">
        <f>(F244/(1+'Autres hypothèses'!$D$5))*('Autres hypothèses'!$D$5/(((1+'Autres hypothèses'!$D$5)^'Conduite principale d''eau'!H244-1)))</f>
        <v>848.37249356722168</v>
      </c>
      <c r="K244" s="5">
        <v>2015</v>
      </c>
      <c r="L244" s="5">
        <f t="shared" si="18"/>
        <v>7</v>
      </c>
      <c r="M244" s="1">
        <f t="shared" si="19"/>
        <v>8.7499999999999994E-2</v>
      </c>
      <c r="N244" s="3">
        <f t="shared" si="20"/>
        <v>9122.3124999999982</v>
      </c>
      <c r="O244" s="3">
        <f t="shared" si="21"/>
        <v>95132.687499999985</v>
      </c>
    </row>
    <row r="245" spans="1:15" x14ac:dyDescent="0.25">
      <c r="A245" s="4" t="s">
        <v>1213</v>
      </c>
      <c r="B245" s="5" t="s">
        <v>2505</v>
      </c>
      <c r="C245" s="5">
        <v>200</v>
      </c>
      <c r="D245" s="5">
        <v>74.099999999999994</v>
      </c>
      <c r="E245" s="7">
        <f>VLOOKUP(C245,'Taux unitaires'!B:C,2,FALSE)</f>
        <v>1450</v>
      </c>
      <c r="F245" s="6">
        <f t="shared" si="22"/>
        <v>107444.99999999999</v>
      </c>
      <c r="G245" s="5">
        <f>VLOOKUP(B245,'Durée de vie utile'!$C$8:$E$13,3,FALSE)</f>
        <v>125</v>
      </c>
      <c r="H245" s="5">
        <f>VLOOKUP(B245,'Durée de vie utile'!$C$8:$D$13,2,FALSE)</f>
        <v>80</v>
      </c>
      <c r="I245" s="6">
        <f t="shared" si="23"/>
        <v>1343.0624999999998</v>
      </c>
      <c r="J245" s="6">
        <f>(F245/(1+'Autres hypothèses'!$D$5))*('Autres hypothèses'!$D$5/(((1+'Autres hypothèses'!$D$5)^'Conduite principale d''eau'!H245-1)))</f>
        <v>874.33103996288082</v>
      </c>
      <c r="K245" s="5">
        <v>2017</v>
      </c>
      <c r="L245" s="5">
        <f t="shared" si="18"/>
        <v>5</v>
      </c>
      <c r="M245" s="1">
        <f t="shared" si="19"/>
        <v>6.25E-2</v>
      </c>
      <c r="N245" s="3">
        <f t="shared" si="20"/>
        <v>6715.3124999999991</v>
      </c>
      <c r="O245" s="3">
        <f t="shared" si="21"/>
        <v>100729.68749999999</v>
      </c>
    </row>
    <row r="246" spans="1:15" x14ac:dyDescent="0.25">
      <c r="A246" s="4" t="s">
        <v>1214</v>
      </c>
      <c r="B246" s="5" t="s">
        <v>2506</v>
      </c>
      <c r="C246" s="5">
        <v>200</v>
      </c>
      <c r="D246" s="5">
        <v>67</v>
      </c>
      <c r="E246" s="7">
        <f>VLOOKUP(C246,'Taux unitaires'!B:C,2,FALSE)</f>
        <v>1450</v>
      </c>
      <c r="F246" s="6">
        <f t="shared" si="22"/>
        <v>97150</v>
      </c>
      <c r="G246" s="5">
        <f>VLOOKUP(B246,'Durée de vie utile'!$C$8:$E$13,3,FALSE)</f>
        <v>125</v>
      </c>
      <c r="H246" s="5">
        <f>VLOOKUP(B246,'Durée de vie utile'!$C$8:$D$13,2,FALSE)</f>
        <v>80</v>
      </c>
      <c r="I246" s="6">
        <f t="shared" si="23"/>
        <v>1214.375</v>
      </c>
      <c r="J246" s="6">
        <f>(F246/(1+'Autres hypothèses'!$D$5))*('Autres hypothèses'!$D$5/(((1+'Autres hypothèses'!$D$5)^'Conduite principale d''eau'!H246-1)))</f>
        <v>790.55573114052663</v>
      </c>
      <c r="K246" s="5">
        <v>2017</v>
      </c>
      <c r="L246" s="5">
        <f t="shared" si="18"/>
        <v>5</v>
      </c>
      <c r="M246" s="1">
        <f t="shared" si="19"/>
        <v>6.25E-2</v>
      </c>
      <c r="N246" s="3">
        <f t="shared" si="20"/>
        <v>6071.875</v>
      </c>
      <c r="O246" s="3">
        <f t="shared" si="21"/>
        <v>91078.125</v>
      </c>
    </row>
    <row r="247" spans="1:15" x14ac:dyDescent="0.25">
      <c r="A247" s="4" t="s">
        <v>1215</v>
      </c>
      <c r="B247" s="5" t="s">
        <v>2507</v>
      </c>
      <c r="C247" s="5">
        <v>200</v>
      </c>
      <c r="D247" s="5">
        <v>30.700000000000003</v>
      </c>
      <c r="E247" s="7">
        <f>VLOOKUP(C247,'Taux unitaires'!B:C,2,FALSE)</f>
        <v>1450</v>
      </c>
      <c r="F247" s="6">
        <f t="shared" si="22"/>
        <v>44515.000000000007</v>
      </c>
      <c r="G247" s="5">
        <f>VLOOKUP(B247,'Durée de vie utile'!$C$8:$E$13,3,FALSE)</f>
        <v>125</v>
      </c>
      <c r="H247" s="5">
        <f>VLOOKUP(B247,'Durée de vie utile'!$C$8:$D$13,2,FALSE)</f>
        <v>80</v>
      </c>
      <c r="I247" s="6">
        <f t="shared" si="23"/>
        <v>556.43750000000011</v>
      </c>
      <c r="J247" s="6">
        <f>(F247/(1+'Autres hypothèses'!$D$5))*('Autres hypothèses'!$D$5/(((1+'Autres hypothèses'!$D$5)^'Conduite principale d''eau'!H247-1)))</f>
        <v>362.23971561215183</v>
      </c>
      <c r="K247" s="5">
        <v>2017</v>
      </c>
      <c r="L247" s="5">
        <f t="shared" si="18"/>
        <v>5</v>
      </c>
      <c r="M247" s="1">
        <f t="shared" si="19"/>
        <v>6.25E-2</v>
      </c>
      <c r="N247" s="3">
        <f t="shared" si="20"/>
        <v>2782.1875000000005</v>
      </c>
      <c r="O247" s="3">
        <f t="shared" si="21"/>
        <v>41732.812500000007</v>
      </c>
    </row>
    <row r="248" spans="1:15" x14ac:dyDescent="0.25">
      <c r="A248" s="4" t="s">
        <v>1216</v>
      </c>
      <c r="B248" s="5" t="s">
        <v>2508</v>
      </c>
      <c r="C248" s="5">
        <v>400</v>
      </c>
      <c r="D248" s="5">
        <v>7.3</v>
      </c>
      <c r="E248" s="7">
        <f>VLOOKUP(C248,'Taux unitaires'!B:C,2,FALSE)</f>
        <v>1650</v>
      </c>
      <c r="F248" s="6">
        <f t="shared" si="22"/>
        <v>12045</v>
      </c>
      <c r="G248" s="5">
        <f>VLOOKUP(B248,'Durée de vie utile'!$C$8:$E$13,3,FALSE)</f>
        <v>125</v>
      </c>
      <c r="H248" s="5">
        <f>VLOOKUP(B248,'Durée de vie utile'!$C$8:$D$13,2,FALSE)</f>
        <v>80</v>
      </c>
      <c r="I248" s="6">
        <f t="shared" si="23"/>
        <v>150.5625</v>
      </c>
      <c r="J248" s="6">
        <f>(F248/(1+'Autres hypothèses'!$D$5))*('Autres hypothèses'!$D$5/(((1+'Autres hypothèses'!$D$5)^'Conduite principale d''eau'!H248-1)))</f>
        <v>98.015890700850676</v>
      </c>
      <c r="K248" s="5">
        <v>2018</v>
      </c>
      <c r="L248" s="5">
        <f t="shared" si="18"/>
        <v>4</v>
      </c>
      <c r="M248" s="1">
        <f t="shared" si="19"/>
        <v>0.05</v>
      </c>
      <c r="N248" s="3">
        <f t="shared" si="20"/>
        <v>602.25</v>
      </c>
      <c r="O248" s="3">
        <f t="shared" si="21"/>
        <v>11442.75</v>
      </c>
    </row>
    <row r="249" spans="1:15" x14ac:dyDescent="0.25">
      <c r="A249" s="4" t="s">
        <v>1217</v>
      </c>
      <c r="B249" s="5" t="s">
        <v>2509</v>
      </c>
      <c r="C249" s="5">
        <v>200</v>
      </c>
      <c r="D249" s="5">
        <v>65.8</v>
      </c>
      <c r="E249" s="7">
        <f>VLOOKUP(C249,'Taux unitaires'!B:C,2,FALSE)</f>
        <v>1450</v>
      </c>
      <c r="F249" s="6">
        <f t="shared" si="22"/>
        <v>95410</v>
      </c>
      <c r="G249" s="5">
        <f>VLOOKUP(B249,'Durée de vie utile'!$C$8:$E$13,3,FALSE)</f>
        <v>125</v>
      </c>
      <c r="H249" s="5">
        <f>VLOOKUP(B249,'Durée de vie utile'!$C$8:$D$13,2,FALSE)</f>
        <v>80</v>
      </c>
      <c r="I249" s="6">
        <f t="shared" si="23"/>
        <v>1192.625</v>
      </c>
      <c r="J249" s="6">
        <f>(F249/(1+'Autres hypothèses'!$D$5))*('Autres hypothèses'!$D$5/(((1+'Autres hypothèses'!$D$5)^'Conduite principale d''eau'!H249-1)))</f>
        <v>776.39652401562171</v>
      </c>
      <c r="K249" s="5">
        <v>2019</v>
      </c>
      <c r="L249" s="5">
        <f t="shared" si="18"/>
        <v>3</v>
      </c>
      <c r="M249" s="1">
        <f t="shared" si="19"/>
        <v>3.7499999999999999E-2</v>
      </c>
      <c r="N249" s="3">
        <f t="shared" si="20"/>
        <v>3577.875</v>
      </c>
      <c r="O249" s="3">
        <f t="shared" si="21"/>
        <v>91832.125</v>
      </c>
    </row>
    <row r="250" spans="1:15" x14ac:dyDescent="0.25">
      <c r="A250" s="4" t="s">
        <v>1218</v>
      </c>
      <c r="B250" s="5" t="s">
        <v>2510</v>
      </c>
      <c r="C250" s="5">
        <v>150</v>
      </c>
      <c r="D250" s="5">
        <v>75</v>
      </c>
      <c r="E250" s="7">
        <f>VLOOKUP(C250,'Taux unitaires'!B:C,2,FALSE)</f>
        <v>1400</v>
      </c>
      <c r="F250" s="6">
        <f t="shared" si="22"/>
        <v>105000</v>
      </c>
      <c r="G250" s="5">
        <f>VLOOKUP(B250,'Durée de vie utile'!$C$8:$E$13,3,FALSE)</f>
        <v>125</v>
      </c>
      <c r="H250" s="5">
        <f>VLOOKUP(B250,'Durée de vie utile'!$C$8:$D$13,2,FALSE)</f>
        <v>80</v>
      </c>
      <c r="I250" s="12">
        <f t="shared" si="23"/>
        <v>1312.5</v>
      </c>
      <c r="J250" s="11">
        <f>(F250/(1+'Autres hypothèses'!$D$5))*('Autres hypothèses'!$D$5/(((1+'Autres hypothèses'!$D$5)^'Conduite principale d''eau'!H250-1)))</f>
        <v>854.43491270978177</v>
      </c>
      <c r="K250" s="5">
        <v>2019</v>
      </c>
      <c r="L250" s="5">
        <f t="shared" si="18"/>
        <v>3</v>
      </c>
      <c r="M250" s="1">
        <f t="shared" si="19"/>
        <v>3.7499999999999999E-2</v>
      </c>
      <c r="N250" s="3">
        <f t="shared" si="20"/>
        <v>3937.5</v>
      </c>
      <c r="O250" s="3">
        <f t="shared" si="21"/>
        <v>101062.5</v>
      </c>
    </row>
    <row r="252" spans="1:15" x14ac:dyDescent="0.25">
      <c r="F252" s="3">
        <f>SUM(F2:F251)</f>
        <v>19052910</v>
      </c>
      <c r="I252" s="3">
        <f>SUM(I2:I251)</f>
        <v>253267.86607142858</v>
      </c>
      <c r="J252" s="3">
        <f>SUM(J2:J251)</f>
        <v>169398.59094583223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7603-6DE5-4B7D-8BD3-E84CC2DDD7DF}">
  <dimension ref="A5:D5"/>
  <sheetViews>
    <sheetView zoomScale="115" zoomScaleNormal="115" workbookViewId="0">
      <selection activeCell="E17" sqref="E17"/>
    </sheetView>
  </sheetViews>
  <sheetFormatPr defaultColWidth="9.140625" defaultRowHeight="15" x14ac:dyDescent="0.25"/>
  <sheetData>
    <row r="5" spans="1:4" x14ac:dyDescent="0.25">
      <c r="A5" s="45" t="s">
        <v>18</v>
      </c>
      <c r="B5" s="45"/>
      <c r="C5" s="45"/>
      <c r="D5" s="10">
        <v>0.01</v>
      </c>
    </row>
  </sheetData>
  <mergeCells count="1">
    <mergeCell ref="A5:C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6EB6-51D1-487D-B0D3-E0CFB4641284}">
  <dimension ref="B2:H27"/>
  <sheetViews>
    <sheetView zoomScale="115" zoomScaleNormal="115" workbookViewId="0">
      <selection activeCell="G13" sqref="G13"/>
    </sheetView>
  </sheetViews>
  <sheetFormatPr defaultColWidth="9.140625" defaultRowHeight="15" x14ac:dyDescent="0.25"/>
  <cols>
    <col min="1" max="1" width="2.140625" customWidth="1"/>
    <col min="2" max="2" width="46.85546875" customWidth="1"/>
    <col min="3" max="3" width="14" style="2" bestFit="1" customWidth="1"/>
    <col min="4" max="4" width="19.140625" bestFit="1" customWidth="1"/>
    <col min="5" max="5" width="3.5703125" customWidth="1"/>
    <col min="6" max="6" width="38.140625" bestFit="1" customWidth="1"/>
    <col min="7" max="7" width="16.28515625" bestFit="1" customWidth="1"/>
  </cols>
  <sheetData>
    <row r="2" spans="2:8" x14ac:dyDescent="0.25">
      <c r="B2" s="14" t="s">
        <v>19</v>
      </c>
      <c r="D2" t="s">
        <v>20</v>
      </c>
      <c r="F2" s="14" t="s">
        <v>21</v>
      </c>
    </row>
    <row r="3" spans="2:8" x14ac:dyDescent="0.25">
      <c r="B3" t="s">
        <v>1219</v>
      </c>
      <c r="C3" s="2">
        <v>50000</v>
      </c>
      <c r="D3" t="s">
        <v>2511</v>
      </c>
      <c r="F3" t="s">
        <v>22</v>
      </c>
      <c r="G3" s="2">
        <v>500000</v>
      </c>
      <c r="H3" t="s">
        <v>23</v>
      </c>
    </row>
    <row r="4" spans="2:8" x14ac:dyDescent="0.25">
      <c r="B4" t="s">
        <v>24</v>
      </c>
      <c r="C4" s="2">
        <v>100000</v>
      </c>
      <c r="D4" t="s">
        <v>2512</v>
      </c>
      <c r="F4" t="s">
        <v>25</v>
      </c>
      <c r="G4" s="2">
        <v>300000</v>
      </c>
      <c r="H4" t="s">
        <v>2513</v>
      </c>
    </row>
    <row r="5" spans="2:8" x14ac:dyDescent="0.25">
      <c r="B5" t="s">
        <v>26</v>
      </c>
      <c r="C5" s="2">
        <v>10000</v>
      </c>
      <c r="D5" t="s">
        <v>2514</v>
      </c>
      <c r="F5" t="s">
        <v>27</v>
      </c>
      <c r="G5" s="2">
        <v>750000</v>
      </c>
      <c r="H5" t="s">
        <v>2515</v>
      </c>
    </row>
    <row r="6" spans="2:8" x14ac:dyDescent="0.25">
      <c r="B6" t="s">
        <v>2516</v>
      </c>
      <c r="C6" s="2">
        <v>500000</v>
      </c>
      <c r="D6" t="s">
        <v>2517</v>
      </c>
      <c r="F6" t="s">
        <v>28</v>
      </c>
      <c r="G6" s="16">
        <v>100000</v>
      </c>
      <c r="H6" t="s">
        <v>2518</v>
      </c>
    </row>
    <row r="7" spans="2:8" x14ac:dyDescent="0.25">
      <c r="B7" t="s">
        <v>29</v>
      </c>
      <c r="C7" s="2">
        <v>300000</v>
      </c>
      <c r="D7" t="s">
        <v>2519</v>
      </c>
    </row>
    <row r="8" spans="2:8" x14ac:dyDescent="0.25">
      <c r="B8" t="s">
        <v>2520</v>
      </c>
      <c r="C8" s="2">
        <v>750000</v>
      </c>
      <c r="D8" t="s">
        <v>2521</v>
      </c>
      <c r="G8" s="3">
        <f>SUM(G3:G7)</f>
        <v>1650000</v>
      </c>
    </row>
    <row r="9" spans="2:8" x14ac:dyDescent="0.25">
      <c r="B9" t="s">
        <v>2522</v>
      </c>
      <c r="C9" s="32">
        <v>100000</v>
      </c>
      <c r="D9" t="s">
        <v>2523</v>
      </c>
    </row>
    <row r="10" spans="2:8" x14ac:dyDescent="0.25">
      <c r="B10" t="s">
        <v>30</v>
      </c>
      <c r="C10" s="32">
        <v>150000</v>
      </c>
      <c r="D10" t="s">
        <v>2524</v>
      </c>
      <c r="F10" s="14" t="s">
        <v>31</v>
      </c>
    </row>
    <row r="11" spans="2:8" x14ac:dyDescent="0.25">
      <c r="B11" t="s">
        <v>32</v>
      </c>
      <c r="C11" s="16">
        <v>200000</v>
      </c>
      <c r="D11" t="s">
        <v>2525</v>
      </c>
      <c r="F11" t="s">
        <v>33</v>
      </c>
    </row>
    <row r="12" spans="2:8" x14ac:dyDescent="0.25">
      <c r="F12" t="s">
        <v>2526</v>
      </c>
      <c r="G12" s="2">
        <f>VLOOKUP(F12,Sommaire!$A$3:$B$7,2,FALSE)</f>
        <v>21697715</v>
      </c>
      <c r="H12" s="1">
        <f>G12/$G$17</f>
        <v>0.13274142812975728</v>
      </c>
    </row>
    <row r="13" spans="2:8" x14ac:dyDescent="0.25">
      <c r="C13" s="2">
        <f>SUM(C3:C12)</f>
        <v>2160000</v>
      </c>
      <c r="F13" t="s">
        <v>2527</v>
      </c>
      <c r="G13" s="2">
        <f>VLOOKUP(F13,Sommaire!$A$3:$B$7,2,FALSE)</f>
        <v>89018787.034421906</v>
      </c>
      <c r="H13" s="1">
        <f>G13/$G$17</f>
        <v>0.54459563697504021</v>
      </c>
    </row>
    <row r="14" spans="2:8" x14ac:dyDescent="0.25">
      <c r="F14" t="s">
        <v>2528</v>
      </c>
      <c r="G14" s="2">
        <f>VLOOKUP(F14,Sommaire!$A$3:$B$7,2,FALSE)</f>
        <v>52100000</v>
      </c>
      <c r="H14" s="1">
        <f>G14/$G$17</f>
        <v>0.31873533252512321</v>
      </c>
    </row>
    <row r="15" spans="2:8" x14ac:dyDescent="0.25">
      <c r="B15" s="14" t="s">
        <v>34</v>
      </c>
      <c r="D15" t="s">
        <v>2529</v>
      </c>
      <c r="F15" t="s">
        <v>2530</v>
      </c>
      <c r="G15" s="16">
        <f>VLOOKUP(F15,Sommaire!$A$3:$B$7,2,FALSE)</f>
        <v>642000</v>
      </c>
      <c r="H15" s="1">
        <f>G15/$G$17</f>
        <v>3.9276023700792534E-3</v>
      </c>
    </row>
    <row r="16" spans="2:8" x14ac:dyDescent="0.25">
      <c r="B16" t="s">
        <v>35</v>
      </c>
      <c r="C16" s="2">
        <v>150000</v>
      </c>
      <c r="D16" t="s">
        <v>36</v>
      </c>
    </row>
    <row r="17" spans="2:7" x14ac:dyDescent="0.25">
      <c r="B17" t="s">
        <v>2531</v>
      </c>
      <c r="C17" s="16">
        <v>25000</v>
      </c>
      <c r="D17" t="s">
        <v>2532</v>
      </c>
      <c r="G17" s="3">
        <f>SUM(G12:G16)</f>
        <v>163458502.03442192</v>
      </c>
    </row>
    <row r="19" spans="2:7" x14ac:dyDescent="0.25">
      <c r="C19" s="2">
        <f>SUM(C16:C18)</f>
        <v>175000</v>
      </c>
      <c r="F19" t="s">
        <v>2533</v>
      </c>
      <c r="G19" s="2">
        <f>H12*$G$8+SUMIF($D$3:$D$11,F19,$C$3:$C$11)</f>
        <v>219023.35641409951</v>
      </c>
    </row>
    <row r="20" spans="2:7" x14ac:dyDescent="0.25">
      <c r="F20" t="s">
        <v>2534</v>
      </c>
      <c r="G20" s="2">
        <f t="shared" ref="G20:G22" si="0">H13*$G$8+SUMIF($D$3:$D$11,F20,$C$3:$C$11)</f>
        <v>1248582.8010088163</v>
      </c>
    </row>
    <row r="21" spans="2:7" x14ac:dyDescent="0.25">
      <c r="B21" s="14" t="s">
        <v>37</v>
      </c>
      <c r="D21" t="s">
        <v>2535</v>
      </c>
      <c r="F21" t="s">
        <v>2536</v>
      </c>
      <c r="G21" s="2">
        <f t="shared" si="0"/>
        <v>525913.29866645334</v>
      </c>
    </row>
    <row r="22" spans="2:7" x14ac:dyDescent="0.25">
      <c r="B22" t="s">
        <v>38</v>
      </c>
      <c r="C22" s="2">
        <v>75000</v>
      </c>
      <c r="D22" t="s">
        <v>39</v>
      </c>
      <c r="F22" t="s">
        <v>2537</v>
      </c>
      <c r="G22" s="16">
        <f t="shared" si="0"/>
        <v>6480.5439106307676</v>
      </c>
    </row>
    <row r="23" spans="2:7" x14ac:dyDescent="0.25">
      <c r="B23" t="s">
        <v>2538</v>
      </c>
      <c r="C23" s="16">
        <v>10000</v>
      </c>
      <c r="D23" t="s">
        <v>2539</v>
      </c>
    </row>
    <row r="24" spans="2:7" x14ac:dyDescent="0.25">
      <c r="G24" s="3">
        <f>SUM(G19:G23)</f>
        <v>1999999.9999999998</v>
      </c>
    </row>
    <row r="25" spans="2:7" x14ac:dyDescent="0.25">
      <c r="C25" s="2">
        <f>SUM(C22:C24)</f>
        <v>85000</v>
      </c>
    </row>
    <row r="27" spans="2:7" x14ac:dyDescent="0.25">
      <c r="B27" s="40" t="s">
        <v>40</v>
      </c>
      <c r="C27" s="41">
        <f>C13+C19+C25</f>
        <v>2420000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1EAE-7E11-4C96-A30E-659DA90C7AE5}">
  <dimension ref="A1:N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ColWidth="9.140625" defaultRowHeight="15" x14ac:dyDescent="0.25"/>
  <cols>
    <col min="2" max="2" width="17.42578125" bestFit="1" customWidth="1"/>
    <col min="3" max="3" width="15.85546875" bestFit="1" customWidth="1"/>
    <col min="4" max="4" width="13.5703125" bestFit="1" customWidth="1"/>
    <col min="7" max="7" width="12.5703125" bestFit="1" customWidth="1"/>
    <col min="8" max="8" width="12.5703125" customWidth="1"/>
    <col min="10" max="10" width="4.85546875" bestFit="1" customWidth="1"/>
    <col min="11" max="11" width="8.5703125" bestFit="1" customWidth="1"/>
    <col min="12" max="12" width="10" customWidth="1"/>
    <col min="13" max="13" width="12.5703125" bestFit="1" customWidth="1"/>
    <col min="14" max="14" width="13.28515625" bestFit="1" customWidth="1"/>
  </cols>
  <sheetData>
    <row r="1" spans="1:14" ht="45" x14ac:dyDescent="0.25">
      <c r="A1" s="8" t="s">
        <v>2540</v>
      </c>
      <c r="B1" s="8" t="s">
        <v>42</v>
      </c>
      <c r="C1" s="8" t="s">
        <v>2541</v>
      </c>
      <c r="D1" s="8" t="s">
        <v>2542</v>
      </c>
      <c r="E1" s="8" t="s">
        <v>2543</v>
      </c>
      <c r="F1" s="8" t="s">
        <v>2544</v>
      </c>
      <c r="G1" s="9" t="s">
        <v>2545</v>
      </c>
      <c r="H1" s="9" t="s">
        <v>2546</v>
      </c>
      <c r="I1" s="8" t="s">
        <v>2547</v>
      </c>
      <c r="J1" s="8" t="s">
        <v>2548</v>
      </c>
      <c r="K1" s="28" t="s">
        <v>2549</v>
      </c>
      <c r="L1" s="28" t="s">
        <v>50</v>
      </c>
      <c r="M1" s="9" t="s">
        <v>2550</v>
      </c>
      <c r="N1" s="9" t="s">
        <v>2551</v>
      </c>
    </row>
    <row r="2" spans="1:14" x14ac:dyDescent="0.25">
      <c r="A2" t="s">
        <v>53</v>
      </c>
      <c r="B2" t="s">
        <v>54</v>
      </c>
      <c r="C2" t="s">
        <v>2552</v>
      </c>
      <c r="D2" s="2">
        <v>50000</v>
      </c>
      <c r="E2">
        <v>30</v>
      </c>
      <c r="F2">
        <v>20</v>
      </c>
      <c r="G2" s="6">
        <f>D2/F2</f>
        <v>2500</v>
      </c>
      <c r="H2" s="6">
        <f>(D2/(1+'Autres hypothèses'!$D$5))*('Autres hypothèses'!$D$5/(((1+'Autres hypothèses'!$D$5)^F2-1)))</f>
        <v>2248.282915373828</v>
      </c>
      <c r="I2">
        <v>2014</v>
      </c>
      <c r="J2">
        <f>2022-I2</f>
        <v>8</v>
      </c>
      <c r="K2" s="29">
        <f>IF(J2/F2&gt;=1,1,J2/F2)</f>
        <v>0.4</v>
      </c>
      <c r="L2" s="29" t="str">
        <f>IF(J2&gt;F2,"Oui","Non")</f>
        <v>Non</v>
      </c>
      <c r="M2" s="3">
        <f>K2*D2</f>
        <v>20000</v>
      </c>
      <c r="N2" s="3">
        <f>D2-M2</f>
        <v>30000</v>
      </c>
    </row>
    <row r="3" spans="1:14" x14ac:dyDescent="0.25">
      <c r="A3" t="s">
        <v>56</v>
      </c>
      <c r="B3" t="s">
        <v>57</v>
      </c>
      <c r="C3" t="s">
        <v>2553</v>
      </c>
      <c r="D3" s="2">
        <v>13000</v>
      </c>
      <c r="E3">
        <v>30</v>
      </c>
      <c r="F3">
        <v>25</v>
      </c>
      <c r="G3" s="6">
        <f t="shared" ref="G3:G12" si="0">D3/F3</f>
        <v>520</v>
      </c>
      <c r="H3" s="6">
        <f>(D3/(1+'Autres hypothèses'!$D$5))*('Autres hypothèses'!$D$5/(((1+'Autres hypothèses'!$D$5)^F3-1)))</f>
        <v>455.73048931398347</v>
      </c>
      <c r="I3">
        <v>2017</v>
      </c>
      <c r="J3">
        <f t="shared" ref="J3:J12" si="1">2022-I3</f>
        <v>5</v>
      </c>
      <c r="K3" s="29">
        <f t="shared" ref="K3:K12" si="2">IF(J3/F3&gt;=1,1,J3/F3)</f>
        <v>0.2</v>
      </c>
      <c r="L3" s="29" t="str">
        <f t="shared" ref="L3:L12" si="3">IF(J3&gt;F3,"Oui","Non")</f>
        <v>Non</v>
      </c>
      <c r="M3" s="3">
        <f t="shared" ref="M3:M12" si="4">K3*D3</f>
        <v>2600</v>
      </c>
      <c r="N3" s="3">
        <f t="shared" ref="N3:N12" si="5">D3-M3</f>
        <v>10400</v>
      </c>
    </row>
    <row r="4" spans="1:14" x14ac:dyDescent="0.25">
      <c r="A4" t="s">
        <v>59</v>
      </c>
      <c r="B4" t="s">
        <v>60</v>
      </c>
      <c r="C4" t="s">
        <v>2554</v>
      </c>
      <c r="D4" s="2">
        <v>86000</v>
      </c>
      <c r="E4">
        <v>20</v>
      </c>
      <c r="F4">
        <v>15</v>
      </c>
      <c r="G4" s="6">
        <f t="shared" si="0"/>
        <v>5733.333333333333</v>
      </c>
      <c r="H4" s="6">
        <f>(D4/(1+'Autres hypothèses'!$D$5))*('Autres hypothèses'!$D$5/(((1+'Autres hypothèses'!$D$5)^F4-1)))</f>
        <v>5289.7476197050109</v>
      </c>
      <c r="I4">
        <v>1998</v>
      </c>
      <c r="J4">
        <f t="shared" si="1"/>
        <v>24</v>
      </c>
      <c r="K4" s="29">
        <f t="shared" si="2"/>
        <v>1</v>
      </c>
      <c r="L4" s="29" t="str">
        <f t="shared" si="3"/>
        <v>Oui</v>
      </c>
      <c r="M4" s="3">
        <f t="shared" si="4"/>
        <v>86000</v>
      </c>
      <c r="N4" s="3">
        <f t="shared" si="5"/>
        <v>0</v>
      </c>
    </row>
    <row r="5" spans="1:14" x14ac:dyDescent="0.25">
      <c r="A5" t="s">
        <v>62</v>
      </c>
      <c r="B5" t="s">
        <v>63</v>
      </c>
      <c r="C5" t="s">
        <v>2555</v>
      </c>
      <c r="D5" s="2">
        <v>125000</v>
      </c>
      <c r="E5">
        <v>30</v>
      </c>
      <c r="F5">
        <v>20</v>
      </c>
      <c r="G5" s="6">
        <f t="shared" si="0"/>
        <v>6250</v>
      </c>
      <c r="H5" s="6">
        <f>(D5/(1+'Autres hypothèses'!$D$5))*('Autres hypothèses'!$D$5/(((1+'Autres hypothèses'!$D$5)^F5-1)))</f>
        <v>5620.7072884345707</v>
      </c>
      <c r="I5">
        <v>2004</v>
      </c>
      <c r="J5">
        <f t="shared" si="1"/>
        <v>18</v>
      </c>
      <c r="K5" s="29">
        <f t="shared" si="2"/>
        <v>0.9</v>
      </c>
      <c r="L5" s="29" t="str">
        <f t="shared" si="3"/>
        <v>Non</v>
      </c>
      <c r="M5" s="3">
        <f t="shared" si="4"/>
        <v>112500</v>
      </c>
      <c r="N5" s="3">
        <f t="shared" si="5"/>
        <v>12500</v>
      </c>
    </row>
    <row r="6" spans="1:14" x14ac:dyDescent="0.25">
      <c r="A6" t="s">
        <v>65</v>
      </c>
      <c r="B6" t="s">
        <v>66</v>
      </c>
      <c r="C6" t="s">
        <v>2556</v>
      </c>
      <c r="D6" s="2">
        <v>33000</v>
      </c>
      <c r="E6">
        <v>30</v>
      </c>
      <c r="F6">
        <v>20</v>
      </c>
      <c r="G6" s="6">
        <f t="shared" si="0"/>
        <v>1650</v>
      </c>
      <c r="H6" s="6">
        <f>(D6/(1+'Autres hypothèses'!$D$5))*('Autres hypothèses'!$D$5/(((1+'Autres hypothèses'!$D$5)^F6-1)))</f>
        <v>1483.8667241467267</v>
      </c>
      <c r="I6">
        <v>1999</v>
      </c>
      <c r="J6">
        <f t="shared" si="1"/>
        <v>23</v>
      </c>
      <c r="K6" s="29">
        <f t="shared" si="2"/>
        <v>1</v>
      </c>
      <c r="L6" s="29" t="str">
        <f t="shared" si="3"/>
        <v>Oui</v>
      </c>
      <c r="M6" s="3">
        <f t="shared" si="4"/>
        <v>33000</v>
      </c>
      <c r="N6" s="3">
        <f t="shared" si="5"/>
        <v>0</v>
      </c>
    </row>
    <row r="7" spans="1:14" x14ac:dyDescent="0.25">
      <c r="A7" t="s">
        <v>68</v>
      </c>
      <c r="B7" t="s">
        <v>69</v>
      </c>
      <c r="C7" t="s">
        <v>2557</v>
      </c>
      <c r="D7" s="2">
        <v>29000</v>
      </c>
      <c r="E7">
        <v>30</v>
      </c>
      <c r="F7">
        <v>20</v>
      </c>
      <c r="G7" s="6">
        <f t="shared" si="0"/>
        <v>1450</v>
      </c>
      <c r="H7" s="6">
        <f>(D7/(1+'Autres hypothèses'!$D$5))*('Autres hypothèses'!$D$5/(((1+'Autres hypothèses'!$D$5)^F7-1)))</f>
        <v>1304.0040909168204</v>
      </c>
      <c r="I7">
        <v>2002</v>
      </c>
      <c r="J7">
        <f t="shared" si="1"/>
        <v>20</v>
      </c>
      <c r="K7" s="29">
        <f t="shared" si="2"/>
        <v>1</v>
      </c>
      <c r="L7" s="29" t="str">
        <f t="shared" si="3"/>
        <v>Non</v>
      </c>
      <c r="M7" s="3">
        <f t="shared" si="4"/>
        <v>29000</v>
      </c>
      <c r="N7" s="3">
        <f t="shared" si="5"/>
        <v>0</v>
      </c>
    </row>
    <row r="8" spans="1:14" x14ac:dyDescent="0.25">
      <c r="A8" t="s">
        <v>71</v>
      </c>
      <c r="B8" t="s">
        <v>72</v>
      </c>
      <c r="C8" t="s">
        <v>2558</v>
      </c>
      <c r="D8" s="2">
        <v>100000</v>
      </c>
      <c r="E8">
        <v>30</v>
      </c>
      <c r="F8">
        <v>20</v>
      </c>
      <c r="G8" s="6">
        <f t="shared" si="0"/>
        <v>5000</v>
      </c>
      <c r="H8" s="6">
        <f>(D8/(1+'Autres hypothèses'!$D$5))*('Autres hypothèses'!$D$5/(((1+'Autres hypothèses'!$D$5)^F8-1)))</f>
        <v>4496.565830747656</v>
      </c>
      <c r="I8">
        <v>2008</v>
      </c>
      <c r="J8">
        <f t="shared" si="1"/>
        <v>14</v>
      </c>
      <c r="K8" s="29">
        <f t="shared" si="2"/>
        <v>0.7</v>
      </c>
      <c r="L8" s="29" t="str">
        <f t="shared" si="3"/>
        <v>Non</v>
      </c>
      <c r="M8" s="3">
        <f t="shared" si="4"/>
        <v>70000</v>
      </c>
      <c r="N8" s="3">
        <f t="shared" si="5"/>
        <v>30000</v>
      </c>
    </row>
    <row r="9" spans="1:14" x14ac:dyDescent="0.25">
      <c r="A9" t="s">
        <v>74</v>
      </c>
      <c r="B9" t="s">
        <v>75</v>
      </c>
      <c r="C9" t="s">
        <v>2559</v>
      </c>
      <c r="D9" s="2">
        <v>100000</v>
      </c>
      <c r="E9">
        <v>30</v>
      </c>
      <c r="F9">
        <v>20</v>
      </c>
      <c r="G9" s="6">
        <f t="shared" si="0"/>
        <v>5000</v>
      </c>
      <c r="H9" s="6">
        <f>(D9/(1+'Autres hypothèses'!$D$5))*('Autres hypothèses'!$D$5/(((1+'Autres hypothèses'!$D$5)^F9-1)))</f>
        <v>4496.565830747656</v>
      </c>
      <c r="I9">
        <v>2013</v>
      </c>
      <c r="J9">
        <f t="shared" si="1"/>
        <v>9</v>
      </c>
      <c r="K9" s="29">
        <f t="shared" si="2"/>
        <v>0.45</v>
      </c>
      <c r="L9" s="29" t="str">
        <f t="shared" si="3"/>
        <v>Non</v>
      </c>
      <c r="M9" s="3">
        <f t="shared" si="4"/>
        <v>45000</v>
      </c>
      <c r="N9" s="3">
        <f t="shared" si="5"/>
        <v>55000</v>
      </c>
    </row>
    <row r="10" spans="1:14" x14ac:dyDescent="0.25">
      <c r="A10" t="s">
        <v>77</v>
      </c>
      <c r="B10" t="s">
        <v>78</v>
      </c>
      <c r="C10" t="s">
        <v>2560</v>
      </c>
      <c r="D10" s="2">
        <v>17000</v>
      </c>
      <c r="E10">
        <v>20</v>
      </c>
      <c r="F10">
        <v>15</v>
      </c>
      <c r="G10" s="6">
        <f t="shared" si="0"/>
        <v>1133.3333333333333</v>
      </c>
      <c r="H10" s="6">
        <f>(D10/(1+'Autres hypothèses'!$D$5))*('Autres hypothèses'!$D$5/(((1+'Autres hypothèses'!$D$5)^F10-1)))</f>
        <v>1045.6477852905255</v>
      </c>
      <c r="I10">
        <v>2017</v>
      </c>
      <c r="J10">
        <f t="shared" si="1"/>
        <v>5</v>
      </c>
      <c r="K10" s="29">
        <f t="shared" si="2"/>
        <v>0.33333333333333331</v>
      </c>
      <c r="L10" s="29" t="str">
        <f t="shared" si="3"/>
        <v>Non</v>
      </c>
      <c r="M10" s="3">
        <f t="shared" si="4"/>
        <v>5666.6666666666661</v>
      </c>
      <c r="N10" s="3">
        <f t="shared" si="5"/>
        <v>11333.333333333334</v>
      </c>
    </row>
    <row r="11" spans="1:14" x14ac:dyDescent="0.25">
      <c r="A11" t="s">
        <v>80</v>
      </c>
      <c r="B11" t="s">
        <v>81</v>
      </c>
      <c r="C11" t="s">
        <v>2561</v>
      </c>
      <c r="D11" s="2">
        <v>51000</v>
      </c>
      <c r="E11">
        <v>30</v>
      </c>
      <c r="F11">
        <v>20</v>
      </c>
      <c r="G11" s="6">
        <f t="shared" si="0"/>
        <v>2550</v>
      </c>
      <c r="H11" s="6">
        <f>(D11/(1+'Autres hypothèses'!$D$5))*('Autres hypothèses'!$D$5/(((1+'Autres hypothèses'!$D$5)^F11-1)))</f>
        <v>2293.2485736813051</v>
      </c>
      <c r="I11">
        <v>2020</v>
      </c>
      <c r="J11">
        <f t="shared" si="1"/>
        <v>2</v>
      </c>
      <c r="K11" s="29">
        <f t="shared" si="2"/>
        <v>0.1</v>
      </c>
      <c r="L11" s="29" t="str">
        <f t="shared" si="3"/>
        <v>Non</v>
      </c>
      <c r="M11" s="3">
        <f t="shared" si="4"/>
        <v>5100</v>
      </c>
      <c r="N11" s="3">
        <f t="shared" si="5"/>
        <v>45900</v>
      </c>
    </row>
    <row r="12" spans="1:14" x14ac:dyDescent="0.25">
      <c r="A12" t="s">
        <v>82</v>
      </c>
      <c r="B12" t="s">
        <v>83</v>
      </c>
      <c r="C12" t="s">
        <v>2562</v>
      </c>
      <c r="D12" s="16">
        <v>38000</v>
      </c>
      <c r="E12">
        <v>30</v>
      </c>
      <c r="F12">
        <v>20</v>
      </c>
      <c r="G12" s="17">
        <f t="shared" si="0"/>
        <v>1900</v>
      </c>
      <c r="H12" s="17">
        <f>(D12/(1+'Autres hypothèses'!$D$5))*('Autres hypothèses'!$D$5/(((1+'Autres hypothèses'!$D$5)^F12-1)))</f>
        <v>1708.6950156841096</v>
      </c>
      <c r="I12">
        <v>2015</v>
      </c>
      <c r="J12">
        <f t="shared" si="1"/>
        <v>7</v>
      </c>
      <c r="K12" s="29">
        <f t="shared" si="2"/>
        <v>0.35</v>
      </c>
      <c r="L12" s="29" t="str">
        <f t="shared" si="3"/>
        <v>Non</v>
      </c>
      <c r="M12" s="3">
        <f t="shared" si="4"/>
        <v>13300</v>
      </c>
      <c r="N12" s="3">
        <f t="shared" si="5"/>
        <v>24700</v>
      </c>
    </row>
    <row r="14" spans="1:14" x14ac:dyDescent="0.25">
      <c r="D14" s="3">
        <f>SUM(D2:D13)</f>
        <v>642000</v>
      </c>
      <c r="G14" s="3">
        <f>SUM(G2:G13)</f>
        <v>33686.666666666664</v>
      </c>
      <c r="H14" s="3">
        <f>SUM(H2:H13)</f>
        <v>30443.062164042192</v>
      </c>
    </row>
  </sheetData>
  <phoneticPr fontId="3" type="noConversion"/>
  <conditionalFormatting sqref="L2:L12">
    <cfRule type="cellIs" dxfId="1" priority="1" operator="equal">
      <formula>"Oui"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C2B6-912A-457F-BE41-7E68C1716A09}">
  <dimension ref="A1:M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:K24"/>
    </sheetView>
  </sheetViews>
  <sheetFormatPr defaultColWidth="9.140625" defaultRowHeight="15" x14ac:dyDescent="0.25"/>
  <cols>
    <col min="2" max="2" width="30.85546875" bestFit="1" customWidth="1"/>
    <col min="3" max="3" width="13.5703125" bestFit="1" customWidth="1"/>
    <col min="6" max="6" width="12.5703125" bestFit="1" customWidth="1"/>
    <col min="7" max="7" width="12.5703125" customWidth="1"/>
    <col min="9" max="9" width="4.85546875" bestFit="1" customWidth="1"/>
    <col min="10" max="10" width="10.42578125" customWidth="1"/>
    <col min="11" max="11" width="10" customWidth="1"/>
    <col min="12" max="12" width="12.5703125" bestFit="1" customWidth="1"/>
    <col min="13" max="13" width="13.28515625" bestFit="1" customWidth="1"/>
  </cols>
  <sheetData>
    <row r="1" spans="1:13" ht="45" x14ac:dyDescent="0.25">
      <c r="A1" s="8" t="s">
        <v>2563</v>
      </c>
      <c r="B1" s="8" t="s">
        <v>84</v>
      </c>
      <c r="C1" s="8" t="s">
        <v>2564</v>
      </c>
      <c r="D1" s="8" t="s">
        <v>2565</v>
      </c>
      <c r="E1" s="8" t="s">
        <v>2566</v>
      </c>
      <c r="F1" s="9" t="s">
        <v>2567</v>
      </c>
      <c r="G1" s="9" t="s">
        <v>2568</v>
      </c>
      <c r="H1" s="8" t="s">
        <v>2569</v>
      </c>
      <c r="I1" s="8" t="s">
        <v>2570</v>
      </c>
      <c r="J1" s="28" t="s">
        <v>2571</v>
      </c>
      <c r="K1" s="28" t="s">
        <v>2572</v>
      </c>
      <c r="L1" s="9" t="s">
        <v>2573</v>
      </c>
      <c r="M1" s="9" t="s">
        <v>2574</v>
      </c>
    </row>
    <row r="2" spans="1:13" x14ac:dyDescent="0.25">
      <c r="A2" t="s">
        <v>85</v>
      </c>
      <c r="B2" t="s">
        <v>86</v>
      </c>
      <c r="C2" s="2">
        <v>60000</v>
      </c>
      <c r="D2">
        <v>19</v>
      </c>
      <c r="E2">
        <v>15</v>
      </c>
      <c r="F2" s="6">
        <f>C2/E2</f>
        <v>4000</v>
      </c>
      <c r="G2" s="6">
        <f>(C2/(1+'Autres hypothèses'!$D$5))*('Autres hypothèses'!$D$5/(((1+'Autres hypothèses'!$D$5)^E2-1)))</f>
        <v>3690.5215951430314</v>
      </c>
      <c r="H2">
        <v>2014</v>
      </c>
      <c r="I2">
        <f>2022-H2</f>
        <v>8</v>
      </c>
      <c r="J2" s="29">
        <f>IF(I2/E2&gt;=1,1,I2/E2)</f>
        <v>0.53333333333333333</v>
      </c>
      <c r="K2" s="29" t="str">
        <f>IF(I2&gt;E2,"Oui","Non")</f>
        <v>Non</v>
      </c>
      <c r="L2" s="3">
        <f>J2*C2</f>
        <v>32000</v>
      </c>
      <c r="M2" s="3">
        <f>C2-L2</f>
        <v>28000</v>
      </c>
    </row>
    <row r="3" spans="1:13" x14ac:dyDescent="0.25">
      <c r="A3" t="s">
        <v>87</v>
      </c>
      <c r="B3" t="s">
        <v>88</v>
      </c>
      <c r="C3" s="2">
        <v>152000</v>
      </c>
      <c r="D3">
        <v>25</v>
      </c>
      <c r="E3">
        <v>20</v>
      </c>
      <c r="F3" s="6">
        <f t="shared" ref="F3:F23" si="0">C3/E3</f>
        <v>7600</v>
      </c>
      <c r="G3" s="6">
        <f>(C3/(1+'Autres hypothèses'!$D$5))*('Autres hypothèses'!$D$5/(((1+'Autres hypothèses'!$D$5)^E3-1)))</f>
        <v>6834.7800627364386</v>
      </c>
      <c r="H3">
        <v>2017</v>
      </c>
      <c r="I3">
        <f t="shared" ref="I3:I16" si="1">2022-H3</f>
        <v>5</v>
      </c>
      <c r="J3" s="29">
        <f t="shared" ref="J3:J16" si="2">IF(I3/E3&gt;=1,1,I3/E3)</f>
        <v>0.25</v>
      </c>
      <c r="K3" s="29" t="str">
        <f t="shared" ref="K3:K24" si="3">IF(I3&gt;E3,"Oui","Non")</f>
        <v>Non</v>
      </c>
      <c r="L3" s="3">
        <f t="shared" ref="L3:L16" si="4">J3*C3</f>
        <v>38000</v>
      </c>
      <c r="M3" s="3">
        <f t="shared" ref="M3:M16" si="5">C3-L3</f>
        <v>114000</v>
      </c>
    </row>
    <row r="4" spans="1:13" x14ac:dyDescent="0.25">
      <c r="A4" t="s">
        <v>89</v>
      </c>
      <c r="B4" t="s">
        <v>90</v>
      </c>
      <c r="C4" s="2">
        <v>75000</v>
      </c>
      <c r="D4">
        <v>19</v>
      </c>
      <c r="E4">
        <v>15</v>
      </c>
      <c r="F4" s="6">
        <f t="shared" si="0"/>
        <v>5000</v>
      </c>
      <c r="G4" s="6">
        <f>(C4/(1+'Autres hypothèses'!$D$5))*('Autres hypothèses'!$D$5/(((1+'Autres hypothèses'!$D$5)^E4-1)))</f>
        <v>4613.1519939287882</v>
      </c>
      <c r="H4">
        <v>2008</v>
      </c>
      <c r="I4">
        <f t="shared" si="1"/>
        <v>14</v>
      </c>
      <c r="J4" s="29">
        <f t="shared" si="2"/>
        <v>0.93333333333333335</v>
      </c>
      <c r="K4" s="29" t="str">
        <f t="shared" si="3"/>
        <v>Non</v>
      </c>
      <c r="L4" s="3">
        <f t="shared" si="4"/>
        <v>70000</v>
      </c>
      <c r="M4" s="3">
        <f>C4-L4</f>
        <v>5000</v>
      </c>
    </row>
    <row r="5" spans="1:13" x14ac:dyDescent="0.25">
      <c r="A5" t="s">
        <v>91</v>
      </c>
      <c r="B5" t="s">
        <v>92</v>
      </c>
      <c r="C5" s="2">
        <v>300000</v>
      </c>
      <c r="D5">
        <v>10</v>
      </c>
      <c r="E5">
        <v>8</v>
      </c>
      <c r="F5" s="6">
        <f t="shared" si="0"/>
        <v>37500</v>
      </c>
      <c r="G5" s="6">
        <f>(C5/(1+'Autres hypothèses'!$D$5))*('Autres hypothèses'!$D$5/(((1+'Autres hypothèses'!$D$5)^E5-1)))</f>
        <v>35848.60159702431</v>
      </c>
      <c r="H5">
        <v>2012</v>
      </c>
      <c r="I5">
        <f t="shared" si="1"/>
        <v>10</v>
      </c>
      <c r="J5" s="29">
        <f t="shared" si="2"/>
        <v>1</v>
      </c>
      <c r="K5" s="29" t="str">
        <f t="shared" si="3"/>
        <v>Oui</v>
      </c>
      <c r="L5" s="3">
        <f t="shared" si="4"/>
        <v>300000</v>
      </c>
      <c r="M5" s="3">
        <f t="shared" si="5"/>
        <v>0</v>
      </c>
    </row>
    <row r="6" spans="1:13" x14ac:dyDescent="0.25">
      <c r="A6" t="s">
        <v>93</v>
      </c>
      <c r="B6" t="s">
        <v>94</v>
      </c>
      <c r="C6" s="2">
        <v>137000</v>
      </c>
      <c r="D6">
        <v>19</v>
      </c>
      <c r="E6">
        <v>15</v>
      </c>
      <c r="F6" s="6">
        <f t="shared" si="0"/>
        <v>9133.3333333333339</v>
      </c>
      <c r="G6" s="6">
        <f>(C6/(1+'Autres hypothèses'!$D$5))*('Autres hypothèses'!$D$5/(((1+'Autres hypothèses'!$D$5)^E6-1)))</f>
        <v>8426.6909755765882</v>
      </c>
      <c r="H6">
        <v>2010</v>
      </c>
      <c r="I6">
        <f t="shared" si="1"/>
        <v>12</v>
      </c>
      <c r="J6" s="29">
        <f t="shared" si="2"/>
        <v>0.8</v>
      </c>
      <c r="K6" s="29" t="str">
        <f t="shared" si="3"/>
        <v>Non</v>
      </c>
      <c r="L6" s="3">
        <f t="shared" si="4"/>
        <v>109600</v>
      </c>
      <c r="M6" s="3">
        <f t="shared" si="5"/>
        <v>27400</v>
      </c>
    </row>
    <row r="7" spans="1:13" x14ac:dyDescent="0.25">
      <c r="A7" t="s">
        <v>95</v>
      </c>
      <c r="B7" t="s">
        <v>96</v>
      </c>
      <c r="C7" s="2">
        <v>30000</v>
      </c>
      <c r="D7">
        <v>19</v>
      </c>
      <c r="E7">
        <v>15</v>
      </c>
      <c r="F7" s="6">
        <f t="shared" si="0"/>
        <v>2000</v>
      </c>
      <c r="G7" s="6">
        <f>(C7/(1+'Autres hypothèses'!$D$5))*('Autres hypothèses'!$D$5/(((1+'Autres hypothèses'!$D$5)^E7-1)))</f>
        <v>1845.2607975715157</v>
      </c>
      <c r="H7">
        <v>2010</v>
      </c>
      <c r="I7">
        <f t="shared" si="1"/>
        <v>12</v>
      </c>
      <c r="J7" s="29">
        <f t="shared" si="2"/>
        <v>0.8</v>
      </c>
      <c r="K7" s="29" t="str">
        <f t="shared" si="3"/>
        <v>Non</v>
      </c>
      <c r="L7" s="3">
        <f t="shared" si="4"/>
        <v>24000</v>
      </c>
      <c r="M7" s="3">
        <f t="shared" si="5"/>
        <v>6000</v>
      </c>
    </row>
    <row r="8" spans="1:13" x14ac:dyDescent="0.25">
      <c r="A8" t="s">
        <v>97</v>
      </c>
      <c r="B8" t="s">
        <v>98</v>
      </c>
      <c r="C8" s="2">
        <v>35000</v>
      </c>
      <c r="D8">
        <v>19</v>
      </c>
      <c r="E8">
        <v>15</v>
      </c>
      <c r="F8" s="6">
        <f t="shared" si="0"/>
        <v>2333.3333333333335</v>
      </c>
      <c r="G8" s="6">
        <f>(C8/(1+'Autres hypothèses'!$D$5))*('Autres hypothèses'!$D$5/(((1+'Autres hypothèses'!$D$5)^E8-1)))</f>
        <v>2152.804263833435</v>
      </c>
      <c r="H8">
        <v>2008</v>
      </c>
      <c r="I8">
        <f t="shared" si="1"/>
        <v>14</v>
      </c>
      <c r="J8" s="29">
        <f t="shared" si="2"/>
        <v>0.93333333333333335</v>
      </c>
      <c r="K8" s="29" t="str">
        <f t="shared" si="3"/>
        <v>Non</v>
      </c>
      <c r="L8" s="3">
        <f t="shared" si="4"/>
        <v>32666.666666666668</v>
      </c>
      <c r="M8" s="3">
        <f t="shared" si="5"/>
        <v>2333.3333333333321</v>
      </c>
    </row>
    <row r="9" spans="1:13" x14ac:dyDescent="0.25">
      <c r="A9" t="s">
        <v>99</v>
      </c>
      <c r="B9" t="s">
        <v>100</v>
      </c>
      <c r="C9" s="2">
        <v>146000</v>
      </c>
      <c r="D9">
        <v>25</v>
      </c>
      <c r="E9">
        <v>20</v>
      </c>
      <c r="F9" s="6">
        <f t="shared" si="0"/>
        <v>7300</v>
      </c>
      <c r="G9" s="6">
        <f>(C9/(1+'Autres hypothèses'!$D$5))*('Autres hypothèses'!$D$5/(((1+'Autres hypothèses'!$D$5)^E9-1)))</f>
        <v>6564.9861128915791</v>
      </c>
      <c r="H9">
        <v>2013</v>
      </c>
      <c r="I9">
        <f t="shared" si="1"/>
        <v>9</v>
      </c>
      <c r="J9" s="29">
        <f t="shared" si="2"/>
        <v>0.45</v>
      </c>
      <c r="K9" s="29" t="str">
        <f t="shared" si="3"/>
        <v>Non</v>
      </c>
      <c r="L9" s="3">
        <f t="shared" si="4"/>
        <v>65700</v>
      </c>
      <c r="M9" s="3">
        <f t="shared" si="5"/>
        <v>80300</v>
      </c>
    </row>
    <row r="10" spans="1:13" x14ac:dyDescent="0.25">
      <c r="A10" t="s">
        <v>101</v>
      </c>
      <c r="B10" t="s">
        <v>102</v>
      </c>
      <c r="C10" s="2">
        <v>186000</v>
      </c>
      <c r="D10">
        <v>19</v>
      </c>
      <c r="E10">
        <v>15</v>
      </c>
      <c r="F10" s="6">
        <f t="shared" si="0"/>
        <v>12400</v>
      </c>
      <c r="G10" s="6">
        <f>(C10/(1+'Autres hypothèses'!$D$5))*('Autres hypothèses'!$D$5/(((1+'Autres hypothèses'!$D$5)^E10-1)))</f>
        <v>11440.616944943396</v>
      </c>
      <c r="H10">
        <v>2016</v>
      </c>
      <c r="I10">
        <f t="shared" si="1"/>
        <v>6</v>
      </c>
      <c r="J10" s="29">
        <f t="shared" si="2"/>
        <v>0.4</v>
      </c>
      <c r="K10" s="29" t="str">
        <f t="shared" si="3"/>
        <v>Non</v>
      </c>
      <c r="L10" s="3">
        <f t="shared" si="4"/>
        <v>74400</v>
      </c>
      <c r="M10" s="3">
        <f t="shared" si="5"/>
        <v>111600</v>
      </c>
    </row>
    <row r="11" spans="1:13" x14ac:dyDescent="0.25">
      <c r="A11" t="s">
        <v>103</v>
      </c>
      <c r="B11" t="s">
        <v>104</v>
      </c>
      <c r="C11" s="2">
        <v>72240</v>
      </c>
      <c r="D11">
        <v>25</v>
      </c>
      <c r="E11">
        <v>20</v>
      </c>
      <c r="F11" s="6">
        <f t="shared" si="0"/>
        <v>3612</v>
      </c>
      <c r="G11" s="6">
        <f>(C11/(1+'Autres hypothèses'!$D$5))*('Autres hypothèses'!$D$5/(((1+'Autres hypothèses'!$D$5)^E11-1)))</f>
        <v>3248.3191561321073</v>
      </c>
      <c r="H11">
        <v>2017</v>
      </c>
      <c r="I11">
        <f t="shared" si="1"/>
        <v>5</v>
      </c>
      <c r="J11" s="29">
        <f t="shared" si="2"/>
        <v>0.25</v>
      </c>
      <c r="K11" s="29" t="str">
        <f t="shared" si="3"/>
        <v>Non</v>
      </c>
      <c r="L11" s="3">
        <f t="shared" si="4"/>
        <v>18060</v>
      </c>
      <c r="M11" s="3">
        <f t="shared" si="5"/>
        <v>54180</v>
      </c>
    </row>
    <row r="12" spans="1:13" x14ac:dyDescent="0.25">
      <c r="A12" t="s">
        <v>105</v>
      </c>
      <c r="B12" t="s">
        <v>106</v>
      </c>
      <c r="C12" s="2">
        <v>149000</v>
      </c>
      <c r="D12">
        <v>15</v>
      </c>
      <c r="E12">
        <v>12</v>
      </c>
      <c r="F12" s="6">
        <f t="shared" si="0"/>
        <v>12416.666666666666</v>
      </c>
      <c r="G12" s="6">
        <f>(C12/(1+'Autres hypothèses'!$D$5))*('Autres hypothèses'!$D$5/(((1+'Autres hypothèses'!$D$5)^E12-1)))</f>
        <v>11632.148032745454</v>
      </c>
      <c r="H12">
        <v>2018</v>
      </c>
      <c r="I12">
        <f t="shared" si="1"/>
        <v>4</v>
      </c>
      <c r="J12" s="29">
        <f t="shared" si="2"/>
        <v>0.33333333333333331</v>
      </c>
      <c r="K12" s="29" t="str">
        <f t="shared" si="3"/>
        <v>Non</v>
      </c>
      <c r="L12" s="3">
        <f t="shared" si="4"/>
        <v>49666.666666666664</v>
      </c>
      <c r="M12" s="3">
        <f t="shared" si="5"/>
        <v>99333.333333333343</v>
      </c>
    </row>
    <row r="13" spans="1:13" x14ac:dyDescent="0.25">
      <c r="A13" t="s">
        <v>107</v>
      </c>
      <c r="B13" t="s">
        <v>108</v>
      </c>
      <c r="C13" s="2">
        <v>38477</v>
      </c>
      <c r="D13">
        <v>33</v>
      </c>
      <c r="E13">
        <v>26</v>
      </c>
      <c r="F13" s="6">
        <f t="shared" si="0"/>
        <v>1479.8846153846155</v>
      </c>
      <c r="G13" s="6">
        <f>(C13/(1+'Autres hypothèses'!$D$5))*('Autres hypothèses'!$D$5/(((1+'Autres hypothèses'!$D$5)^E13-1)))</f>
        <v>1290.270103390196</v>
      </c>
      <c r="H13">
        <v>2018</v>
      </c>
      <c r="I13">
        <f t="shared" si="1"/>
        <v>4</v>
      </c>
      <c r="J13" s="29">
        <f t="shared" si="2"/>
        <v>0.15384615384615385</v>
      </c>
      <c r="K13" s="29" t="str">
        <f t="shared" si="3"/>
        <v>Non</v>
      </c>
      <c r="L13" s="3">
        <f t="shared" si="4"/>
        <v>5919.5384615384619</v>
      </c>
      <c r="M13" s="3">
        <f t="shared" si="5"/>
        <v>32557.461538461539</v>
      </c>
    </row>
    <row r="14" spans="1:13" x14ac:dyDescent="0.25">
      <c r="A14" t="s">
        <v>109</v>
      </c>
      <c r="B14" t="s">
        <v>110</v>
      </c>
      <c r="C14" s="2">
        <v>13000</v>
      </c>
      <c r="D14">
        <v>23</v>
      </c>
      <c r="E14">
        <v>18</v>
      </c>
      <c r="F14" s="6">
        <f t="shared" si="0"/>
        <v>722.22222222222217</v>
      </c>
      <c r="G14" s="6">
        <f>(C14/(1+'Autres hypothèses'!$D$5))*('Autres hypothèses'!$D$5/(((1+'Autres hypothèses'!$D$5)^E14-1)))</f>
        <v>656.20457687021371</v>
      </c>
      <c r="H14">
        <v>2008</v>
      </c>
      <c r="I14">
        <f t="shared" si="1"/>
        <v>14</v>
      </c>
      <c r="J14" s="29">
        <f t="shared" si="2"/>
        <v>0.77777777777777779</v>
      </c>
      <c r="K14" s="29" t="str">
        <f t="shared" si="3"/>
        <v>Non</v>
      </c>
      <c r="L14" s="3">
        <f t="shared" si="4"/>
        <v>10111.111111111111</v>
      </c>
      <c r="M14" s="3">
        <f t="shared" si="5"/>
        <v>2888.8888888888887</v>
      </c>
    </row>
    <row r="15" spans="1:13" x14ac:dyDescent="0.25">
      <c r="A15" t="s">
        <v>111</v>
      </c>
      <c r="B15" t="s">
        <v>112</v>
      </c>
      <c r="C15" s="2">
        <v>18000</v>
      </c>
      <c r="D15">
        <v>20</v>
      </c>
      <c r="E15">
        <v>16</v>
      </c>
      <c r="F15" s="6">
        <f t="shared" si="0"/>
        <v>1125</v>
      </c>
      <c r="G15" s="6">
        <f>(C15/(1+'Autres hypothèses'!$D$5))*('Autres hypothèses'!$D$5/(((1+'Autres hypothèses'!$D$5)^E15-1)))</f>
        <v>1032.6759829466307</v>
      </c>
      <c r="H15">
        <v>2017</v>
      </c>
      <c r="I15">
        <f t="shared" si="1"/>
        <v>5</v>
      </c>
      <c r="J15" s="29">
        <f t="shared" si="2"/>
        <v>0.3125</v>
      </c>
      <c r="K15" s="29" t="str">
        <f t="shared" si="3"/>
        <v>Non</v>
      </c>
      <c r="L15" s="3">
        <f t="shared" si="4"/>
        <v>5625</v>
      </c>
      <c r="M15" s="3">
        <f t="shared" si="5"/>
        <v>12375</v>
      </c>
    </row>
    <row r="16" spans="1:13" x14ac:dyDescent="0.25">
      <c r="A16" t="s">
        <v>113</v>
      </c>
      <c r="B16" t="s">
        <v>114</v>
      </c>
      <c r="C16" s="2">
        <v>8000</v>
      </c>
      <c r="D16">
        <v>17</v>
      </c>
      <c r="E16">
        <v>13</v>
      </c>
      <c r="F16" s="6">
        <f t="shared" si="0"/>
        <v>615.38461538461536</v>
      </c>
      <c r="G16" s="6">
        <f>(C16/(1+'Autres hypothèses'!$D$5))*('Autres hypothèses'!$D$5/(((1+'Autres hypothèses'!$D$5)^E16-1)))</f>
        <v>573.58273004705109</v>
      </c>
      <c r="H16">
        <v>2020</v>
      </c>
      <c r="I16">
        <f t="shared" si="1"/>
        <v>2</v>
      </c>
      <c r="J16" s="29">
        <f t="shared" si="2"/>
        <v>0.15384615384615385</v>
      </c>
      <c r="K16" s="29" t="str">
        <f t="shared" si="3"/>
        <v>Non</v>
      </c>
      <c r="L16" s="3">
        <f t="shared" si="4"/>
        <v>1230.7692307692309</v>
      </c>
      <c r="M16" s="3">
        <f t="shared" si="5"/>
        <v>6769.2307692307695</v>
      </c>
    </row>
    <row r="17" spans="1:13" x14ac:dyDescent="0.25">
      <c r="A17" t="s">
        <v>115</v>
      </c>
      <c r="B17" t="s">
        <v>116</v>
      </c>
      <c r="C17" s="2">
        <v>8000</v>
      </c>
      <c r="D17">
        <v>19</v>
      </c>
      <c r="E17">
        <v>15</v>
      </c>
      <c r="F17" s="6">
        <f t="shared" si="0"/>
        <v>533.33333333333337</v>
      </c>
      <c r="G17" s="6">
        <f>(C17/(1+'Autres hypothèses'!$D$5))*('Autres hypothèses'!$D$5/(((1+'Autres hypothèses'!$D$5)^E17-1)))</f>
        <v>492.0695460190708</v>
      </c>
      <c r="H17">
        <v>2015</v>
      </c>
      <c r="I17">
        <f t="shared" ref="I17:I24" si="6">2022-H17</f>
        <v>7</v>
      </c>
      <c r="J17" s="29">
        <f t="shared" ref="J17:J24" si="7">IF(I17/E17&gt;=1,1,I17/E17)</f>
        <v>0.46666666666666667</v>
      </c>
      <c r="K17" s="29" t="str">
        <f t="shared" si="3"/>
        <v>Non</v>
      </c>
      <c r="L17" s="3">
        <f t="shared" ref="L17:L24" si="8">J17*C17</f>
        <v>3733.3333333333335</v>
      </c>
      <c r="M17" s="3">
        <f t="shared" ref="M17:M24" si="9">C17-L17</f>
        <v>4266.6666666666661</v>
      </c>
    </row>
    <row r="18" spans="1:13" x14ac:dyDescent="0.25">
      <c r="A18" t="s">
        <v>117</v>
      </c>
      <c r="B18" t="s">
        <v>118</v>
      </c>
      <c r="C18" s="2">
        <v>2000000</v>
      </c>
      <c r="D18">
        <v>25</v>
      </c>
      <c r="E18">
        <v>20</v>
      </c>
      <c r="F18" s="6">
        <f t="shared" si="0"/>
        <v>100000</v>
      </c>
      <c r="G18" s="6">
        <f>(C18/(1+'Autres hypothèses'!$D$5))*('Autres hypothèses'!$D$5/(((1+'Autres hypothèses'!$D$5)^E18-1)))</f>
        <v>89931.316614953132</v>
      </c>
      <c r="H18">
        <v>2010</v>
      </c>
      <c r="I18">
        <f t="shared" si="6"/>
        <v>12</v>
      </c>
      <c r="J18" s="29">
        <f t="shared" si="7"/>
        <v>0.6</v>
      </c>
      <c r="K18" s="29" t="str">
        <f t="shared" si="3"/>
        <v>Non</v>
      </c>
      <c r="L18" s="3">
        <f t="shared" si="8"/>
        <v>1200000</v>
      </c>
      <c r="M18" s="3">
        <f t="shared" si="9"/>
        <v>800000</v>
      </c>
    </row>
    <row r="19" spans="1:13" x14ac:dyDescent="0.25">
      <c r="A19" t="s">
        <v>119</v>
      </c>
      <c r="B19" t="s">
        <v>120</v>
      </c>
      <c r="C19" s="2">
        <v>1300000</v>
      </c>
      <c r="D19">
        <v>25</v>
      </c>
      <c r="E19">
        <v>20</v>
      </c>
      <c r="F19" s="6">
        <f t="shared" si="0"/>
        <v>65000</v>
      </c>
      <c r="G19" s="6">
        <f>(C19/(1+'Autres hypothèses'!$D$5))*('Autres hypothèses'!$D$5/(((1+'Autres hypothèses'!$D$5)^E19-1)))</f>
        <v>58455.355799719531</v>
      </c>
      <c r="H19">
        <v>2016</v>
      </c>
      <c r="I19">
        <f t="shared" si="6"/>
        <v>6</v>
      </c>
      <c r="J19" s="29">
        <f t="shared" si="7"/>
        <v>0.3</v>
      </c>
      <c r="K19" s="29" t="str">
        <f t="shared" si="3"/>
        <v>Non</v>
      </c>
      <c r="L19" s="3">
        <f t="shared" si="8"/>
        <v>390000</v>
      </c>
      <c r="M19" s="3">
        <f t="shared" si="9"/>
        <v>910000</v>
      </c>
    </row>
    <row r="20" spans="1:13" x14ac:dyDescent="0.25">
      <c r="A20" t="s">
        <v>121</v>
      </c>
      <c r="B20" t="s">
        <v>122</v>
      </c>
      <c r="C20" s="2">
        <v>750000</v>
      </c>
      <c r="D20">
        <v>25</v>
      </c>
      <c r="E20">
        <v>20</v>
      </c>
      <c r="F20" s="6">
        <f t="shared" si="0"/>
        <v>37500</v>
      </c>
      <c r="G20" s="6">
        <f>(C20/(1+'Autres hypothèses'!$D$5))*('Autres hypothèses'!$D$5/(((1+'Autres hypothèses'!$D$5)^E20-1)))</f>
        <v>33724.243730607428</v>
      </c>
      <c r="H20">
        <v>2005</v>
      </c>
      <c r="I20">
        <f t="shared" si="6"/>
        <v>17</v>
      </c>
      <c r="J20" s="29">
        <f t="shared" si="7"/>
        <v>0.85</v>
      </c>
      <c r="K20" s="29" t="str">
        <f t="shared" si="3"/>
        <v>Non</v>
      </c>
      <c r="L20" s="3">
        <f t="shared" si="8"/>
        <v>637500</v>
      </c>
      <c r="M20" s="3">
        <f t="shared" si="9"/>
        <v>112500</v>
      </c>
    </row>
    <row r="21" spans="1:13" x14ac:dyDescent="0.25">
      <c r="A21" t="s">
        <v>123</v>
      </c>
      <c r="B21" t="s">
        <v>124</v>
      </c>
      <c r="C21" s="2">
        <v>45000</v>
      </c>
      <c r="D21">
        <v>25</v>
      </c>
      <c r="E21">
        <v>20</v>
      </c>
      <c r="F21" s="6">
        <f t="shared" si="0"/>
        <v>2250</v>
      </c>
      <c r="G21" s="6">
        <f>(C21/(1+'Autres hypothèses'!$D$5))*('Autres hypothèses'!$D$5/(((1+'Autres hypothèses'!$D$5)^E21-1)))</f>
        <v>2023.4546238364455</v>
      </c>
      <c r="H21">
        <v>2006</v>
      </c>
      <c r="I21">
        <f t="shared" si="6"/>
        <v>16</v>
      </c>
      <c r="J21" s="29">
        <f t="shared" si="7"/>
        <v>0.8</v>
      </c>
      <c r="K21" s="29" t="str">
        <f t="shared" si="3"/>
        <v>Non</v>
      </c>
      <c r="L21" s="3">
        <f t="shared" si="8"/>
        <v>36000</v>
      </c>
      <c r="M21" s="3">
        <f t="shared" si="9"/>
        <v>9000</v>
      </c>
    </row>
    <row r="22" spans="1:13" x14ac:dyDescent="0.25">
      <c r="A22" t="s">
        <v>125</v>
      </c>
      <c r="B22" t="s">
        <v>126</v>
      </c>
      <c r="C22" s="2">
        <v>45000</v>
      </c>
      <c r="D22">
        <v>15</v>
      </c>
      <c r="E22">
        <v>10</v>
      </c>
      <c r="F22" s="6">
        <f t="shared" si="0"/>
        <v>4500</v>
      </c>
      <c r="G22" s="6">
        <f>(C22/(1+'Autres hypothèses'!$D$5))*('Autres hypothèses'!$D$5/(((1+'Autres hypothèses'!$D$5)^E22-1)))</f>
        <v>4258.6073710917835</v>
      </c>
      <c r="H22">
        <v>2010</v>
      </c>
      <c r="I22">
        <f t="shared" si="6"/>
        <v>12</v>
      </c>
      <c r="J22" s="29">
        <f t="shared" si="7"/>
        <v>1</v>
      </c>
      <c r="K22" s="29" t="str">
        <f t="shared" si="3"/>
        <v>Oui</v>
      </c>
      <c r="L22" s="3">
        <f t="shared" si="8"/>
        <v>45000</v>
      </c>
      <c r="M22" s="3">
        <f t="shared" si="9"/>
        <v>0</v>
      </c>
    </row>
    <row r="23" spans="1:13" x14ac:dyDescent="0.25">
      <c r="A23" t="s">
        <v>127</v>
      </c>
      <c r="B23" t="s">
        <v>128</v>
      </c>
      <c r="C23" s="2">
        <v>45000</v>
      </c>
      <c r="D23">
        <v>15</v>
      </c>
      <c r="E23">
        <v>10</v>
      </c>
      <c r="F23" s="6">
        <f t="shared" si="0"/>
        <v>4500</v>
      </c>
      <c r="G23" s="6">
        <f>(C23/(1+'Autres hypothèses'!$D$5))*('Autres hypothèses'!$D$5/(((1+'Autres hypothèses'!$D$5)^E23-1)))</f>
        <v>4258.6073710917835</v>
      </c>
      <c r="H23">
        <v>2015</v>
      </c>
      <c r="I23">
        <f t="shared" si="6"/>
        <v>7</v>
      </c>
      <c r="J23" s="29">
        <f t="shared" si="7"/>
        <v>0.7</v>
      </c>
      <c r="K23" s="29" t="str">
        <f t="shared" si="3"/>
        <v>Non</v>
      </c>
      <c r="L23" s="3">
        <f t="shared" si="8"/>
        <v>31499.999999999996</v>
      </c>
      <c r="M23" s="3">
        <f t="shared" si="9"/>
        <v>13500.000000000004</v>
      </c>
    </row>
    <row r="24" spans="1:13" x14ac:dyDescent="0.25">
      <c r="A24" t="s">
        <v>129</v>
      </c>
      <c r="B24" t="s">
        <v>130</v>
      </c>
      <c r="C24" s="16">
        <v>38000</v>
      </c>
      <c r="D24">
        <v>20</v>
      </c>
      <c r="E24">
        <v>15</v>
      </c>
      <c r="F24" s="17">
        <f t="shared" ref="F24" si="10">C24/E24</f>
        <v>2533.3333333333335</v>
      </c>
      <c r="G24" s="17">
        <f>(C24/(1+'Autres hypothèses'!$D$5))*('Autres hypothèses'!$D$5/(((1+'Autres hypothèses'!$D$5)^E24-1)))</f>
        <v>2337.3303435905864</v>
      </c>
      <c r="H24">
        <v>2018</v>
      </c>
      <c r="I24">
        <f t="shared" si="6"/>
        <v>4</v>
      </c>
      <c r="J24" s="29">
        <f t="shared" si="7"/>
        <v>0.26666666666666666</v>
      </c>
      <c r="K24" s="29" t="str">
        <f t="shared" si="3"/>
        <v>Non</v>
      </c>
      <c r="L24" s="27">
        <f t="shared" si="8"/>
        <v>10133.333333333334</v>
      </c>
      <c r="M24" s="27">
        <f t="shared" si="9"/>
        <v>27866.666666666664</v>
      </c>
    </row>
    <row r="26" spans="1:13" x14ac:dyDescent="0.25">
      <c r="C26" s="3">
        <f>SUM(C2:C25)</f>
        <v>5650717</v>
      </c>
      <c r="F26" s="3">
        <f>SUM(F2:F25)</f>
        <v>324054.49145299144</v>
      </c>
      <c r="G26" s="3">
        <f>SUM(G2:G25)</f>
        <v>295331.60032669053</v>
      </c>
      <c r="L26" s="3">
        <f>SUM(L2:L25)</f>
        <v>3190846.418803419</v>
      </c>
      <c r="M26" s="3">
        <f>SUM(M2:M25)</f>
        <v>2459870.581196581</v>
      </c>
    </row>
  </sheetData>
  <phoneticPr fontId="3" type="noConversion"/>
  <conditionalFormatting sqref="K2:K24">
    <cfRule type="cellIs" dxfId="0" priority="1" operator="equal">
      <formula>"Oui"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4D2A-91C6-41E2-A93B-0AAF7F5124F2}">
  <dimension ref="A1:H29"/>
  <sheetViews>
    <sheetView zoomScaleNormal="100" workbookViewId="0">
      <selection activeCell="H14" sqref="H14"/>
    </sheetView>
  </sheetViews>
  <sheetFormatPr defaultColWidth="9.140625" defaultRowHeight="15" x14ac:dyDescent="0.25"/>
  <cols>
    <col min="1" max="1" width="1.85546875" bestFit="1" customWidth="1"/>
    <col min="2" max="2" width="17.42578125" bestFit="1" customWidth="1"/>
    <col min="4" max="4" width="9.42578125" bestFit="1" customWidth="1"/>
    <col min="5" max="5" width="10.7109375" bestFit="1" customWidth="1"/>
    <col min="7" max="7" width="14.85546875" bestFit="1" customWidth="1"/>
  </cols>
  <sheetData>
    <row r="1" spans="1:8" x14ac:dyDescent="0.25">
      <c r="B1" s="14" t="s">
        <v>131</v>
      </c>
      <c r="C1" t="s">
        <v>2575</v>
      </c>
      <c r="D1" t="s">
        <v>2576</v>
      </c>
      <c r="E1" t="s">
        <v>2577</v>
      </c>
      <c r="G1" t="s">
        <v>133</v>
      </c>
      <c r="H1" s="10">
        <v>1</v>
      </c>
    </row>
    <row r="2" spans="1:8" x14ac:dyDescent="0.25">
      <c r="A2">
        <v>1</v>
      </c>
      <c r="B2" t="s">
        <v>134</v>
      </c>
      <c r="C2" t="s">
        <v>2578</v>
      </c>
      <c r="D2">
        <f>90*H1</f>
        <v>90</v>
      </c>
      <c r="E2">
        <v>125</v>
      </c>
    </row>
    <row r="3" spans="1:8" x14ac:dyDescent="0.25">
      <c r="A3">
        <v>2</v>
      </c>
      <c r="B3" t="s">
        <v>136</v>
      </c>
      <c r="C3" t="s">
        <v>137</v>
      </c>
      <c r="D3">
        <f>80*H1</f>
        <v>80</v>
      </c>
      <c r="E3">
        <v>100</v>
      </c>
    </row>
    <row r="4" spans="1:8" x14ac:dyDescent="0.25">
      <c r="A4">
        <v>3</v>
      </c>
      <c r="B4" t="s">
        <v>138</v>
      </c>
      <c r="C4" t="s">
        <v>2579</v>
      </c>
      <c r="D4">
        <f>80*H1</f>
        <v>80</v>
      </c>
      <c r="E4">
        <v>125</v>
      </c>
    </row>
    <row r="5" spans="1:8" x14ac:dyDescent="0.25">
      <c r="A5">
        <v>4</v>
      </c>
      <c r="B5" t="s">
        <v>140</v>
      </c>
      <c r="C5" t="s">
        <v>2580</v>
      </c>
      <c r="D5">
        <f>70*H1</f>
        <v>70</v>
      </c>
      <c r="E5">
        <v>100</v>
      </c>
    </row>
    <row r="6" spans="1:8" x14ac:dyDescent="0.25">
      <c r="A6">
        <v>5</v>
      </c>
      <c r="B6" t="s">
        <v>142</v>
      </c>
      <c r="C6" t="s">
        <v>2581</v>
      </c>
      <c r="D6">
        <f>90*H1</f>
        <v>90</v>
      </c>
      <c r="E6">
        <v>125</v>
      </c>
    </row>
    <row r="8" spans="1:8" x14ac:dyDescent="0.25">
      <c r="B8" s="14" t="s">
        <v>144</v>
      </c>
      <c r="C8" t="s">
        <v>2582</v>
      </c>
      <c r="D8" t="s">
        <v>2583</v>
      </c>
      <c r="E8" t="s">
        <v>2584</v>
      </c>
    </row>
    <row r="9" spans="1:8" x14ac:dyDescent="0.25">
      <c r="A9">
        <v>1</v>
      </c>
      <c r="B9" t="s">
        <v>2585</v>
      </c>
      <c r="C9" t="s">
        <v>2586</v>
      </c>
      <c r="D9">
        <f>80*H1</f>
        <v>80</v>
      </c>
      <c r="E9">
        <v>125</v>
      </c>
    </row>
    <row r="10" spans="1:8" x14ac:dyDescent="0.25">
      <c r="A10">
        <v>2</v>
      </c>
      <c r="B10" t="s">
        <v>2587</v>
      </c>
      <c r="C10" t="s">
        <v>2588</v>
      </c>
      <c r="D10">
        <f>70*H1</f>
        <v>70</v>
      </c>
      <c r="E10">
        <v>100</v>
      </c>
    </row>
    <row r="11" spans="1:8" x14ac:dyDescent="0.25">
      <c r="A11">
        <v>3</v>
      </c>
      <c r="B11" t="s">
        <v>2589</v>
      </c>
      <c r="C11" t="s">
        <v>2590</v>
      </c>
      <c r="D11">
        <f>80*H1</f>
        <v>80</v>
      </c>
      <c r="E11">
        <v>125</v>
      </c>
    </row>
    <row r="12" spans="1:8" x14ac:dyDescent="0.25">
      <c r="A12">
        <v>4</v>
      </c>
      <c r="B12" t="s">
        <v>2591</v>
      </c>
      <c r="C12" t="s">
        <v>2592</v>
      </c>
      <c r="D12">
        <f>70*H1</f>
        <v>70</v>
      </c>
      <c r="E12">
        <v>100</v>
      </c>
    </row>
    <row r="13" spans="1:8" x14ac:dyDescent="0.25">
      <c r="A13">
        <v>5</v>
      </c>
      <c r="B13" t="s">
        <v>2593</v>
      </c>
      <c r="C13" t="s">
        <v>2594</v>
      </c>
      <c r="D13">
        <f>80*H1</f>
        <v>80</v>
      </c>
      <c r="E13">
        <v>125</v>
      </c>
    </row>
    <row r="15" spans="1:8" x14ac:dyDescent="0.25">
      <c r="B15" s="14" t="s">
        <v>145</v>
      </c>
      <c r="D15" t="s">
        <v>2595</v>
      </c>
      <c r="E15" t="s">
        <v>2596</v>
      </c>
    </row>
    <row r="16" spans="1:8" x14ac:dyDescent="0.25">
      <c r="A16">
        <v>1</v>
      </c>
      <c r="B16" t="s">
        <v>2597</v>
      </c>
      <c r="D16">
        <f>100*H1</f>
        <v>100</v>
      </c>
      <c r="E16">
        <v>125</v>
      </c>
    </row>
    <row r="17" spans="1:5" x14ac:dyDescent="0.25">
      <c r="A17">
        <v>2</v>
      </c>
      <c r="B17" t="s">
        <v>2598</v>
      </c>
      <c r="D17">
        <f>80*H1</f>
        <v>80</v>
      </c>
      <c r="E17">
        <v>100</v>
      </c>
    </row>
    <row r="18" spans="1:5" x14ac:dyDescent="0.25">
      <c r="A18">
        <v>3</v>
      </c>
      <c r="B18" t="s">
        <v>2599</v>
      </c>
      <c r="D18">
        <f>60*H1</f>
        <v>60</v>
      </c>
      <c r="E18">
        <v>90</v>
      </c>
    </row>
    <row r="20" spans="1:5" x14ac:dyDescent="0.25">
      <c r="B20" s="14" t="s">
        <v>149</v>
      </c>
      <c r="C20" t="s">
        <v>2600</v>
      </c>
      <c r="D20" t="s">
        <v>2601</v>
      </c>
      <c r="E20" t="s">
        <v>2602</v>
      </c>
    </row>
    <row r="21" spans="1:5" x14ac:dyDescent="0.25">
      <c r="A21">
        <v>1</v>
      </c>
      <c r="B21" t="s">
        <v>2603</v>
      </c>
      <c r="C21" t="s">
        <v>2604</v>
      </c>
      <c r="D21">
        <f>90*$H$1</f>
        <v>90</v>
      </c>
      <c r="E21">
        <v>125</v>
      </c>
    </row>
    <row r="22" spans="1:5" x14ac:dyDescent="0.25">
      <c r="A22">
        <v>2</v>
      </c>
      <c r="B22" t="s">
        <v>2605</v>
      </c>
      <c r="C22" t="s">
        <v>2606</v>
      </c>
      <c r="D22">
        <f>80*$H$1</f>
        <v>80</v>
      </c>
      <c r="E22">
        <v>100</v>
      </c>
    </row>
    <row r="23" spans="1:5" x14ac:dyDescent="0.25">
      <c r="A23">
        <v>3</v>
      </c>
      <c r="B23" t="s">
        <v>2607</v>
      </c>
      <c r="C23" t="s">
        <v>2608</v>
      </c>
      <c r="D23">
        <f>80*$H$1</f>
        <v>80</v>
      </c>
      <c r="E23">
        <v>125</v>
      </c>
    </row>
    <row r="24" spans="1:5" x14ac:dyDescent="0.25">
      <c r="A24">
        <v>4</v>
      </c>
      <c r="B24" t="s">
        <v>2609</v>
      </c>
      <c r="C24" t="s">
        <v>2610</v>
      </c>
      <c r="D24">
        <f>70*$H$1</f>
        <v>70</v>
      </c>
      <c r="E24">
        <v>100</v>
      </c>
    </row>
    <row r="25" spans="1:5" x14ac:dyDescent="0.25">
      <c r="A25">
        <v>5</v>
      </c>
      <c r="B25" t="s">
        <v>2611</v>
      </c>
      <c r="C25" t="s">
        <v>2612</v>
      </c>
      <c r="D25">
        <f>90*$H$1</f>
        <v>90</v>
      </c>
      <c r="E25">
        <v>125</v>
      </c>
    </row>
    <row r="26" spans="1:5" x14ac:dyDescent="0.25">
      <c r="B26" s="14" t="s">
        <v>150</v>
      </c>
      <c r="D26" t="s">
        <v>2613</v>
      </c>
      <c r="E26" t="s">
        <v>2614</v>
      </c>
    </row>
    <row r="27" spans="1:5" x14ac:dyDescent="0.25">
      <c r="A27">
        <v>1</v>
      </c>
      <c r="B27" t="s">
        <v>2615</v>
      </c>
      <c r="D27">
        <f>30*H1</f>
        <v>30</v>
      </c>
      <c r="E27">
        <v>50</v>
      </c>
    </row>
    <row r="28" spans="1:5" x14ac:dyDescent="0.25">
      <c r="A28">
        <v>2</v>
      </c>
      <c r="B28" t="s">
        <v>2616</v>
      </c>
      <c r="D28">
        <f>25*H1</f>
        <v>25</v>
      </c>
      <c r="E28">
        <v>40</v>
      </c>
    </row>
    <row r="29" spans="1:5" x14ac:dyDescent="0.25">
      <c r="A29">
        <v>3</v>
      </c>
      <c r="B29" t="s">
        <v>2617</v>
      </c>
      <c r="D29">
        <f>25*H1</f>
        <v>25</v>
      </c>
      <c r="E29">
        <v>30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D376-A59E-4693-BC66-55EDF0D6534B}">
  <dimension ref="B1:M11"/>
  <sheetViews>
    <sheetView zoomScale="130" zoomScaleNormal="130" workbookViewId="0">
      <selection activeCell="B11" sqref="B11"/>
    </sheetView>
  </sheetViews>
  <sheetFormatPr defaultColWidth="9.140625" defaultRowHeight="15" x14ac:dyDescent="0.25"/>
  <cols>
    <col min="2" max="2" width="10.140625" bestFit="1" customWidth="1"/>
    <col min="11" max="11" width="24.140625" bestFit="1" customWidth="1"/>
    <col min="12" max="12" width="3.28515625" customWidth="1"/>
  </cols>
  <sheetData>
    <row r="1" spans="2:13" x14ac:dyDescent="0.25">
      <c r="B1" t="s">
        <v>2618</v>
      </c>
      <c r="E1" t="s">
        <v>151</v>
      </c>
      <c r="H1" t="s">
        <v>2619</v>
      </c>
      <c r="K1" t="s">
        <v>152</v>
      </c>
      <c r="M1" s="10">
        <v>1</v>
      </c>
    </row>
    <row r="2" spans="2:13" x14ac:dyDescent="0.25">
      <c r="B2" t="s">
        <v>153</v>
      </c>
      <c r="C2" t="s">
        <v>154</v>
      </c>
      <c r="E2" t="s">
        <v>2620</v>
      </c>
      <c r="F2" t="s">
        <v>2621</v>
      </c>
      <c r="H2" t="s">
        <v>2622</v>
      </c>
      <c r="I2" t="s">
        <v>2623</v>
      </c>
      <c r="M2" s="29"/>
    </row>
    <row r="3" spans="2:13" x14ac:dyDescent="0.25">
      <c r="B3">
        <v>150</v>
      </c>
      <c r="C3">
        <f>1400*M1</f>
        <v>1400</v>
      </c>
      <c r="E3">
        <v>200</v>
      </c>
      <c r="F3">
        <f>1550*M1</f>
        <v>1550</v>
      </c>
      <c r="H3">
        <v>200</v>
      </c>
      <c r="I3">
        <f>1441.5*M1</f>
        <v>1441.5</v>
      </c>
    </row>
    <row r="4" spans="2:13" x14ac:dyDescent="0.25">
      <c r="B4">
        <v>200</v>
      </c>
      <c r="C4">
        <f>1450*M1</f>
        <v>1450</v>
      </c>
      <c r="E4">
        <v>250</v>
      </c>
      <c r="F4">
        <f>1600*M1</f>
        <v>1600</v>
      </c>
      <c r="H4">
        <v>250</v>
      </c>
      <c r="I4">
        <f>1488*M1</f>
        <v>1488</v>
      </c>
    </row>
    <row r="5" spans="2:13" x14ac:dyDescent="0.25">
      <c r="B5">
        <v>250</v>
      </c>
      <c r="C5">
        <f>1500*M1</f>
        <v>1500</v>
      </c>
      <c r="E5">
        <v>300</v>
      </c>
      <c r="F5">
        <f>1650*M1</f>
        <v>1650</v>
      </c>
      <c r="H5">
        <v>300</v>
      </c>
      <c r="I5">
        <f>1534.5*M1</f>
        <v>1534.5</v>
      </c>
    </row>
    <row r="6" spans="2:13" x14ac:dyDescent="0.25">
      <c r="B6">
        <v>300</v>
      </c>
      <c r="C6">
        <f>1600*M1</f>
        <v>1600</v>
      </c>
      <c r="E6">
        <v>375</v>
      </c>
      <c r="F6">
        <f>1650*M1</f>
        <v>1650</v>
      </c>
      <c r="H6">
        <v>375</v>
      </c>
      <c r="I6">
        <f>1534.5*M1</f>
        <v>1534.5</v>
      </c>
    </row>
    <row r="7" spans="2:13" x14ac:dyDescent="0.25">
      <c r="B7">
        <v>400</v>
      </c>
      <c r="C7">
        <f>1650*M1</f>
        <v>1650</v>
      </c>
      <c r="E7">
        <v>450</v>
      </c>
      <c r="F7">
        <f>1700*M1</f>
        <v>1700</v>
      </c>
      <c r="H7">
        <v>450</v>
      </c>
      <c r="I7">
        <f>1581*M1</f>
        <v>1581</v>
      </c>
    </row>
    <row r="8" spans="2:13" x14ac:dyDescent="0.25">
      <c r="E8">
        <v>750</v>
      </c>
      <c r="F8">
        <f>1900*M1</f>
        <v>1900</v>
      </c>
      <c r="H8">
        <v>750</v>
      </c>
      <c r="I8">
        <f>1767*M1</f>
        <v>1767</v>
      </c>
    </row>
    <row r="9" spans="2:13" x14ac:dyDescent="0.25">
      <c r="B9" t="s">
        <v>155</v>
      </c>
    </row>
    <row r="10" spans="2:13" x14ac:dyDescent="0.25">
      <c r="B10" t="s">
        <v>2841</v>
      </c>
      <c r="C10">
        <f>200*M1</f>
        <v>200</v>
      </c>
      <c r="D10" t="s">
        <v>156</v>
      </c>
    </row>
    <row r="11" spans="2:13" x14ac:dyDescent="0.25">
      <c r="B11" t="s">
        <v>2842</v>
      </c>
      <c r="C11">
        <f>101*M1</f>
        <v>101</v>
      </c>
      <c r="D11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1ECE-7CD4-4E76-A24B-EA8960487EE3}">
  <dimension ref="A1:Q215"/>
  <sheetViews>
    <sheetView zoomScale="85" zoomScaleNormal="85"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I37" sqref="A1:Q201"/>
    </sheetView>
  </sheetViews>
  <sheetFormatPr defaultColWidth="9.140625" defaultRowHeight="15" x14ac:dyDescent="0.25"/>
  <cols>
    <col min="1" max="1" width="7.5703125" bestFit="1" customWidth="1"/>
    <col min="2" max="2" width="7.85546875" bestFit="1" customWidth="1"/>
    <col min="3" max="3" width="8.5703125" bestFit="1" customWidth="1"/>
    <col min="4" max="4" width="6.42578125" bestFit="1" customWidth="1"/>
    <col min="5" max="5" width="11.42578125" customWidth="1"/>
    <col min="6" max="6" width="15.85546875" bestFit="1" customWidth="1"/>
    <col min="7" max="7" width="10.7109375" bestFit="1" customWidth="1"/>
    <col min="8" max="8" width="9.42578125" bestFit="1" customWidth="1"/>
    <col min="9" max="10" width="20" customWidth="1"/>
    <col min="11" max="11" width="12.140625" bestFit="1" customWidth="1"/>
    <col min="12" max="12" width="3.85546875" bestFit="1" customWidth="1"/>
    <col min="13" max="13" width="11.5703125" bestFit="1" customWidth="1"/>
    <col min="14" max="14" width="14.5703125" bestFit="1" customWidth="1"/>
    <col min="15" max="15" width="14.7109375" bestFit="1" customWidth="1"/>
    <col min="16" max="16" width="9.140625" customWidth="1"/>
  </cols>
  <sheetData>
    <row r="1" spans="1:17" ht="45" x14ac:dyDescent="0.25">
      <c r="A1" s="8" t="s">
        <v>2624</v>
      </c>
      <c r="B1" s="8" t="s">
        <v>2625</v>
      </c>
      <c r="C1" s="8" t="s">
        <v>2626</v>
      </c>
      <c r="D1" s="8" t="s">
        <v>2627</v>
      </c>
      <c r="E1" s="9" t="s">
        <v>2628</v>
      </c>
      <c r="F1" s="9" t="s">
        <v>2629</v>
      </c>
      <c r="G1" s="23" t="s">
        <v>2630</v>
      </c>
      <c r="H1" s="23" t="s">
        <v>2631</v>
      </c>
      <c r="I1" s="9" t="s">
        <v>2632</v>
      </c>
      <c r="J1" s="9" t="s">
        <v>2633</v>
      </c>
      <c r="K1" s="23" t="s">
        <v>2634</v>
      </c>
      <c r="L1" s="8" t="s">
        <v>2635</v>
      </c>
      <c r="M1" s="9" t="s">
        <v>2636</v>
      </c>
      <c r="N1" s="9" t="s">
        <v>2637</v>
      </c>
      <c r="O1" s="9" t="s">
        <v>2638</v>
      </c>
      <c r="P1" s="9" t="s">
        <v>2639</v>
      </c>
      <c r="Q1" s="9" t="s">
        <v>2640</v>
      </c>
    </row>
    <row r="2" spans="1:17" x14ac:dyDescent="0.25">
      <c r="A2" s="15" t="s">
        <v>163</v>
      </c>
      <c r="B2" s="5" t="s">
        <v>2641</v>
      </c>
      <c r="C2" s="5">
        <v>200</v>
      </c>
      <c r="D2" s="21">
        <v>51.800000000000004</v>
      </c>
      <c r="E2" s="24">
        <f>VLOOKUP(C2,'Taux unitaires'!H:I,2,FALSE)</f>
        <v>1441.5</v>
      </c>
      <c r="F2" s="25">
        <f>D2*E2</f>
        <v>74669.700000000012</v>
      </c>
      <c r="G2" s="26">
        <f>VLOOKUP(B2,'Durée de vie utile'!$C$20:$E$25,3,FALSE)</f>
        <v>125</v>
      </c>
      <c r="H2" s="26">
        <f>VLOOKUP('Conduite principale'!B2,'Durée de vie utile'!$C$20:$E$25,2,FALSE)</f>
        <v>90</v>
      </c>
      <c r="I2" s="25">
        <f>F2/H2</f>
        <v>829.66333333333341</v>
      </c>
      <c r="J2" s="25">
        <f>(F2/(1+'Autres hypothèses'!$D$5))*('Autres hypothèses'!$D$5/(((1+'Autres hypothèses'!$D$5)^'Conduite principale'!H2-1)))</f>
        <v>510.34604792097156</v>
      </c>
      <c r="K2" s="26">
        <v>1953</v>
      </c>
      <c r="L2" s="22">
        <f>2022-K2</f>
        <v>69</v>
      </c>
      <c r="M2" s="1">
        <f>L2/H2</f>
        <v>0.76666666666666672</v>
      </c>
      <c r="N2" s="3">
        <f t="shared" ref="N2:N65" si="0">M2*F2</f>
        <v>57246.770000000011</v>
      </c>
      <c r="O2" s="3">
        <f t="shared" ref="O2:O65" si="1">F2-N2</f>
        <v>17422.93</v>
      </c>
      <c r="P2">
        <f>K2+H2</f>
        <v>2043</v>
      </c>
      <c r="Q2">
        <f>P2+H2</f>
        <v>2133</v>
      </c>
    </row>
    <row r="3" spans="1:17" x14ac:dyDescent="0.25">
      <c r="A3" s="15" t="s">
        <v>164</v>
      </c>
      <c r="B3" s="5" t="s">
        <v>2642</v>
      </c>
      <c r="C3" s="5">
        <v>200</v>
      </c>
      <c r="D3" s="21">
        <v>4.5999999999999996</v>
      </c>
      <c r="E3" s="24">
        <f>VLOOKUP(C3,'Taux unitaires'!H:I,2,FALSE)</f>
        <v>1441.5</v>
      </c>
      <c r="F3" s="25">
        <f>D3*E3</f>
        <v>6630.9</v>
      </c>
      <c r="G3" s="26">
        <f>VLOOKUP(B3,'Durée de vie utile'!$C$20:$E$25,3,FALSE)</f>
        <v>125</v>
      </c>
      <c r="H3" s="26">
        <f>VLOOKUP('Conduite principale'!B3,'Durée de vie utile'!$C$20:$E$25,2,FALSE)</f>
        <v>80</v>
      </c>
      <c r="I3" s="25">
        <f t="shared" ref="I3:I66" si="2">F3/H3</f>
        <v>82.88624999999999</v>
      </c>
      <c r="J3" s="25">
        <f>(F3/(1+'Autres hypothèses'!$D$5))*('Autres hypothèses'!$D$5/(((1+'Autres hypothèses'!$D$5)^'Conduite principale'!H3-1)))</f>
        <v>53.958785358926583</v>
      </c>
      <c r="K3" s="26">
        <v>1953</v>
      </c>
      <c r="L3" s="22">
        <f t="shared" ref="L3:L65" si="3">2022-K3</f>
        <v>69</v>
      </c>
      <c r="M3" s="1">
        <f t="shared" ref="M3:M65" si="4">L3/H3</f>
        <v>0.86250000000000004</v>
      </c>
      <c r="N3" s="3">
        <f t="shared" si="0"/>
        <v>5719.1512499999999</v>
      </c>
      <c r="O3" s="3">
        <f t="shared" si="1"/>
        <v>911.74874999999975</v>
      </c>
      <c r="P3">
        <f t="shared" ref="P3:P66" si="5">K3+H3</f>
        <v>2033</v>
      </c>
      <c r="Q3">
        <f t="shared" ref="Q3:Q66" si="6">P3+H3</f>
        <v>2113</v>
      </c>
    </row>
    <row r="4" spans="1:17" x14ac:dyDescent="0.25">
      <c r="A4" s="15" t="s">
        <v>165</v>
      </c>
      <c r="B4" s="5" t="s">
        <v>2643</v>
      </c>
      <c r="C4" s="5">
        <v>200</v>
      </c>
      <c r="D4" s="21">
        <v>29.400000000000002</v>
      </c>
      <c r="E4" s="24">
        <f>VLOOKUP(C4,'Taux unitaires'!H:I,2,FALSE)</f>
        <v>1441.5</v>
      </c>
      <c r="F4" s="25">
        <f t="shared" ref="F4:F66" si="7">D4*E4</f>
        <v>42380.100000000006</v>
      </c>
      <c r="G4" s="26">
        <f>VLOOKUP(B4,'Durée de vie utile'!$C$20:$E$25,3,FALSE)</f>
        <v>100</v>
      </c>
      <c r="H4" s="26">
        <f>VLOOKUP('Conduite principale'!B4,'Durée de vie utile'!$C$20:$E$25,2,FALSE)</f>
        <v>70</v>
      </c>
      <c r="I4" s="25">
        <f t="shared" si="2"/>
        <v>605.43000000000006</v>
      </c>
      <c r="J4" s="25">
        <f>(F4/(1+'Autres hypothèses'!$D$5))*('Autres hypothèses'!$D$5/(((1+'Autres hypothèses'!$D$5)^'Conduite principale'!H4-1)))</f>
        <v>416.78607274302249</v>
      </c>
      <c r="K4" s="26">
        <v>1954</v>
      </c>
      <c r="L4" s="22">
        <f t="shared" si="3"/>
        <v>68</v>
      </c>
      <c r="M4" s="1">
        <f t="shared" si="4"/>
        <v>0.97142857142857142</v>
      </c>
      <c r="N4" s="3">
        <f t="shared" si="0"/>
        <v>41169.240000000005</v>
      </c>
      <c r="O4" s="3">
        <f t="shared" si="1"/>
        <v>1210.8600000000006</v>
      </c>
      <c r="P4">
        <f t="shared" si="5"/>
        <v>2024</v>
      </c>
      <c r="Q4">
        <f t="shared" si="6"/>
        <v>2094</v>
      </c>
    </row>
    <row r="5" spans="1:17" x14ac:dyDescent="0.25">
      <c r="A5" s="15" t="s">
        <v>166</v>
      </c>
      <c r="B5" s="5" t="s">
        <v>2644</v>
      </c>
      <c r="C5" s="5">
        <v>450</v>
      </c>
      <c r="D5" s="21">
        <v>80.8</v>
      </c>
      <c r="E5" s="24">
        <f>VLOOKUP(C5,'Taux unitaires'!H:I,2,FALSE)</f>
        <v>1581</v>
      </c>
      <c r="F5" s="25">
        <f t="shared" si="7"/>
        <v>127744.79999999999</v>
      </c>
      <c r="G5" s="26">
        <f>VLOOKUP(B5,'Durée de vie utile'!$C$20:$E$25,3,FALSE)</f>
        <v>125</v>
      </c>
      <c r="H5" s="26">
        <f>VLOOKUP('Conduite principale'!B5,'Durée de vie utile'!$C$20:$E$25,2,FALSE)</f>
        <v>80</v>
      </c>
      <c r="I5" s="25">
        <f t="shared" si="2"/>
        <v>1596.81</v>
      </c>
      <c r="J5" s="25">
        <f>(F5/(1+'Autres hypothèses'!$D$5))*('Autres hypothèses'!$D$5/(((1+'Autres hypothèses'!$D$5)^'Conduite principale'!H5-1)))</f>
        <v>1039.5201622583668</v>
      </c>
      <c r="K5" s="26">
        <v>1956</v>
      </c>
      <c r="L5" s="22">
        <f t="shared" si="3"/>
        <v>66</v>
      </c>
      <c r="M5" s="1">
        <f t="shared" si="4"/>
        <v>0.82499999999999996</v>
      </c>
      <c r="N5" s="3">
        <f t="shared" si="0"/>
        <v>105389.45999999999</v>
      </c>
      <c r="O5" s="3">
        <f t="shared" si="1"/>
        <v>22355.339999999997</v>
      </c>
      <c r="P5">
        <f t="shared" si="5"/>
        <v>2036</v>
      </c>
      <c r="Q5">
        <f t="shared" si="6"/>
        <v>2116</v>
      </c>
    </row>
    <row r="6" spans="1:17" x14ac:dyDescent="0.25">
      <c r="A6" s="15" t="s">
        <v>167</v>
      </c>
      <c r="B6" s="5" t="s">
        <v>2645</v>
      </c>
      <c r="C6" s="5">
        <v>450</v>
      </c>
      <c r="D6" s="21">
        <v>26.400000000000002</v>
      </c>
      <c r="E6" s="24">
        <f>VLOOKUP(C6,'Taux unitaires'!H:I,2,FALSE)</f>
        <v>1581</v>
      </c>
      <c r="F6" s="25">
        <f t="shared" si="7"/>
        <v>41738.400000000001</v>
      </c>
      <c r="G6" s="26">
        <f>VLOOKUP(B6,'Durée de vie utile'!$C$20:$E$25,3,FALSE)</f>
        <v>100</v>
      </c>
      <c r="H6" s="26">
        <f>VLOOKUP('Conduite principale'!B6,'Durée de vie utile'!$C$20:$E$25,2,FALSE)</f>
        <v>70</v>
      </c>
      <c r="I6" s="25">
        <f t="shared" si="2"/>
        <v>596.26285714285711</v>
      </c>
      <c r="J6" s="25">
        <f>(F6/(1+'Autres hypothèses'!$D$5))*('Autres hypothèses'!$D$5/(((1+'Autres hypothèses'!$D$5)^'Conduite principale'!H6-1)))</f>
        <v>410.47528954809849</v>
      </c>
      <c r="K6" s="26">
        <v>1956</v>
      </c>
      <c r="L6" s="22">
        <f t="shared" si="3"/>
        <v>66</v>
      </c>
      <c r="M6" s="1">
        <f t="shared" si="4"/>
        <v>0.94285714285714284</v>
      </c>
      <c r="N6" s="3">
        <f t="shared" si="0"/>
        <v>39353.348571428571</v>
      </c>
      <c r="O6" s="3">
        <f t="shared" si="1"/>
        <v>2385.0514285714307</v>
      </c>
      <c r="P6">
        <f t="shared" si="5"/>
        <v>2026</v>
      </c>
      <c r="Q6">
        <f t="shared" si="6"/>
        <v>2096</v>
      </c>
    </row>
    <row r="7" spans="1:17" x14ac:dyDescent="0.25">
      <c r="A7" s="15" t="s">
        <v>168</v>
      </c>
      <c r="B7" s="5" t="s">
        <v>2646</v>
      </c>
      <c r="C7" s="5">
        <v>450</v>
      </c>
      <c r="D7" s="21">
        <v>71</v>
      </c>
      <c r="E7" s="24">
        <f>VLOOKUP(C7,'Taux unitaires'!H:I,2,FALSE)</f>
        <v>1581</v>
      </c>
      <c r="F7" s="25">
        <f t="shared" si="7"/>
        <v>112251</v>
      </c>
      <c r="G7" s="26">
        <f>VLOOKUP(B7,'Durée de vie utile'!$C$20:$E$25,3,FALSE)</f>
        <v>100</v>
      </c>
      <c r="H7" s="26">
        <f>VLOOKUP('Conduite principale'!B7,'Durée de vie utile'!$C$20:$E$25,2,FALSE)</f>
        <v>80</v>
      </c>
      <c r="I7" s="25">
        <f t="shared" si="2"/>
        <v>1403.1375</v>
      </c>
      <c r="J7" s="25">
        <f>(F7/(1+'Autres hypothèses'!$D$5))*('Autres hypothèses'!$D$5/(((1+'Autres hypothèses'!$D$5)^'Conduite principale'!H7-1)))</f>
        <v>913.43974653891155</v>
      </c>
      <c r="K7" s="26">
        <v>1956</v>
      </c>
      <c r="L7" s="22">
        <f t="shared" si="3"/>
        <v>66</v>
      </c>
      <c r="M7" s="1">
        <f t="shared" si="4"/>
        <v>0.82499999999999996</v>
      </c>
      <c r="N7" s="3">
        <f t="shared" si="0"/>
        <v>92607.074999999997</v>
      </c>
      <c r="O7" s="3">
        <f t="shared" si="1"/>
        <v>19643.925000000003</v>
      </c>
      <c r="P7">
        <f t="shared" si="5"/>
        <v>2036</v>
      </c>
      <c r="Q7">
        <f t="shared" si="6"/>
        <v>2116</v>
      </c>
    </row>
    <row r="8" spans="1:17" x14ac:dyDescent="0.25">
      <c r="A8" s="15" t="s">
        <v>169</v>
      </c>
      <c r="B8" s="5" t="s">
        <v>2647</v>
      </c>
      <c r="C8" s="5">
        <v>200</v>
      </c>
      <c r="D8" s="21">
        <v>42</v>
      </c>
      <c r="E8" s="24">
        <f>VLOOKUP(C8,'Taux unitaires'!H:I,2,FALSE)</f>
        <v>1441.5</v>
      </c>
      <c r="F8" s="25">
        <f t="shared" si="7"/>
        <v>60543</v>
      </c>
      <c r="G8" s="26">
        <f>VLOOKUP(B8,'Durée de vie utile'!$C$20:$E$25,3,FALSE)</f>
        <v>100</v>
      </c>
      <c r="H8" s="26">
        <f>VLOOKUP('Conduite principale'!B8,'Durée de vie utile'!$C$20:$E$25,2,FALSE)</f>
        <v>80</v>
      </c>
      <c r="I8" s="25">
        <f t="shared" si="2"/>
        <v>756.78750000000002</v>
      </c>
      <c r="J8" s="25">
        <f>(F8/(1+'Autres hypothèses'!$D$5))*('Autres hypothèses'!$D$5/(((1+'Autres hypothèses'!$D$5)^'Conduite principale'!H8-1)))</f>
        <v>492.66717066846013</v>
      </c>
      <c r="K8" s="26">
        <v>1956</v>
      </c>
      <c r="L8" s="22">
        <f t="shared" si="3"/>
        <v>66</v>
      </c>
      <c r="M8" s="1">
        <f t="shared" si="4"/>
        <v>0.82499999999999996</v>
      </c>
      <c r="N8" s="3">
        <f t="shared" si="0"/>
        <v>49947.974999999999</v>
      </c>
      <c r="O8" s="3">
        <f t="shared" si="1"/>
        <v>10595.025000000001</v>
      </c>
      <c r="P8">
        <f t="shared" si="5"/>
        <v>2036</v>
      </c>
      <c r="Q8">
        <f t="shared" si="6"/>
        <v>2116</v>
      </c>
    </row>
    <row r="9" spans="1:17" x14ac:dyDescent="0.25">
      <c r="A9" s="15" t="s">
        <v>170</v>
      </c>
      <c r="B9" s="5" t="s">
        <v>2648</v>
      </c>
      <c r="C9" s="5">
        <v>375</v>
      </c>
      <c r="D9" s="21">
        <v>96.199999999999989</v>
      </c>
      <c r="E9" s="24">
        <f>VLOOKUP(C9,'Taux unitaires'!H:I,2,FALSE)</f>
        <v>1534.5</v>
      </c>
      <c r="F9" s="25">
        <f t="shared" si="7"/>
        <v>147618.9</v>
      </c>
      <c r="G9" s="26">
        <f>VLOOKUP(B9,'Durée de vie utile'!$C$20:$E$25,3,FALSE)</f>
        <v>125</v>
      </c>
      <c r="H9" s="26">
        <f>VLOOKUP('Conduite principale'!B9,'Durée de vie utile'!$C$20:$E$25,2,FALSE)</f>
        <v>90</v>
      </c>
      <c r="I9" s="25">
        <f t="shared" si="2"/>
        <v>1640.21</v>
      </c>
      <c r="J9" s="25">
        <f>(F9/(1+'Autres hypothèses'!$D$5))*('Autres hypothèses'!$D$5/(((1+'Autres hypothèses'!$D$5)^'Conduite principale'!H9-1)))</f>
        <v>1008.93297031381</v>
      </c>
      <c r="K9" s="26">
        <v>1953</v>
      </c>
      <c r="L9" s="22">
        <f t="shared" si="3"/>
        <v>69</v>
      </c>
      <c r="M9" s="1">
        <f t="shared" si="4"/>
        <v>0.76666666666666672</v>
      </c>
      <c r="N9" s="3">
        <f t="shared" si="0"/>
        <v>113174.49</v>
      </c>
      <c r="O9" s="3">
        <f t="shared" si="1"/>
        <v>34444.409999999989</v>
      </c>
      <c r="P9">
        <f t="shared" si="5"/>
        <v>2043</v>
      </c>
      <c r="Q9">
        <f t="shared" si="6"/>
        <v>2133</v>
      </c>
    </row>
    <row r="10" spans="1:17" x14ac:dyDescent="0.25">
      <c r="A10" s="15" t="s">
        <v>171</v>
      </c>
      <c r="B10" s="5" t="s">
        <v>2649</v>
      </c>
      <c r="C10" s="5">
        <v>450</v>
      </c>
      <c r="D10" s="21">
        <v>78.599999999999994</v>
      </c>
      <c r="E10" s="24">
        <f>VLOOKUP(C10,'Taux unitaires'!H:I,2,FALSE)</f>
        <v>1581</v>
      </c>
      <c r="F10" s="25">
        <f t="shared" si="7"/>
        <v>124266.59999999999</v>
      </c>
      <c r="G10" s="26">
        <f>VLOOKUP(B10,'Durée de vie utile'!$C$20:$E$25,3,FALSE)</f>
        <v>100</v>
      </c>
      <c r="H10" s="26">
        <f>VLOOKUP('Conduite principale'!B10,'Durée de vie utile'!$C$20:$E$25,2,FALSE)</f>
        <v>80</v>
      </c>
      <c r="I10" s="25">
        <f t="shared" si="2"/>
        <v>1553.3325</v>
      </c>
      <c r="J10" s="25">
        <f>(F10/(1+'Autres hypothèses'!$D$5))*('Autres hypothèses'!$D$5/(((1+'Autres hypothèses'!$D$5)^'Conduite principale'!H10-1)))</f>
        <v>1011.2163954642034</v>
      </c>
      <c r="K10" s="26">
        <v>1953</v>
      </c>
      <c r="L10" s="22">
        <f t="shared" si="3"/>
        <v>69</v>
      </c>
      <c r="M10" s="1">
        <f t="shared" si="4"/>
        <v>0.86250000000000004</v>
      </c>
      <c r="N10" s="3">
        <f t="shared" si="0"/>
        <v>107179.9425</v>
      </c>
      <c r="O10" s="3">
        <f t="shared" si="1"/>
        <v>17086.657499999987</v>
      </c>
      <c r="P10">
        <f t="shared" si="5"/>
        <v>2033</v>
      </c>
      <c r="Q10">
        <f t="shared" si="6"/>
        <v>2113</v>
      </c>
    </row>
    <row r="11" spans="1:17" x14ac:dyDescent="0.25">
      <c r="A11" s="15" t="s">
        <v>172</v>
      </c>
      <c r="B11" s="5" t="s">
        <v>2650</v>
      </c>
      <c r="C11" s="5">
        <v>300</v>
      </c>
      <c r="D11" s="21">
        <v>82.5</v>
      </c>
      <c r="E11" s="24">
        <f>VLOOKUP(C11,'Taux unitaires'!H:I,2,FALSE)</f>
        <v>1534.5</v>
      </c>
      <c r="F11" s="25">
        <f t="shared" si="7"/>
        <v>126596.25</v>
      </c>
      <c r="G11" s="26">
        <f>VLOOKUP(B11,'Durée de vie utile'!$C$20:$E$25,3,FALSE)</f>
        <v>100</v>
      </c>
      <c r="H11" s="26">
        <f>VLOOKUP('Conduite principale'!B11,'Durée de vie utile'!$C$20:$E$25,2,FALSE)</f>
        <v>80</v>
      </c>
      <c r="I11" s="25">
        <f t="shared" si="2"/>
        <v>1582.453125</v>
      </c>
      <c r="J11" s="25">
        <f>(F11/(1+'Autres hypothèses'!$D$5))*('Autres hypothèses'!$D$5/(((1+'Autres hypothèses'!$D$5)^'Conduite principale'!H11-1)))</f>
        <v>1030.1738649346257</v>
      </c>
      <c r="K11" s="26">
        <v>1958</v>
      </c>
      <c r="L11" s="22">
        <f t="shared" si="3"/>
        <v>64</v>
      </c>
      <c r="M11" s="1">
        <f t="shared" si="4"/>
        <v>0.8</v>
      </c>
      <c r="N11" s="3">
        <f t="shared" si="0"/>
        <v>101277</v>
      </c>
      <c r="O11" s="3">
        <f t="shared" si="1"/>
        <v>25319.25</v>
      </c>
      <c r="P11">
        <f t="shared" si="5"/>
        <v>2038</v>
      </c>
      <c r="Q11">
        <f t="shared" si="6"/>
        <v>2118</v>
      </c>
    </row>
    <row r="12" spans="1:17" x14ac:dyDescent="0.25">
      <c r="A12" s="15" t="s">
        <v>173</v>
      </c>
      <c r="B12" s="5" t="s">
        <v>2651</v>
      </c>
      <c r="C12" s="5">
        <v>300</v>
      </c>
      <c r="D12" s="21">
        <v>13.7</v>
      </c>
      <c r="E12" s="24">
        <f>VLOOKUP(C12,'Taux unitaires'!H:I,2,FALSE)</f>
        <v>1534.5</v>
      </c>
      <c r="F12" s="25">
        <f t="shared" si="7"/>
        <v>21022.649999999998</v>
      </c>
      <c r="G12" s="26">
        <f>VLOOKUP(B12,'Durée de vie utile'!$C$20:$E$25,3,FALSE)</f>
        <v>125</v>
      </c>
      <c r="H12" s="26">
        <f>VLOOKUP('Conduite principale'!B12,'Durée de vie utile'!$C$20:$E$25,2,FALSE)</f>
        <v>80</v>
      </c>
      <c r="I12" s="25">
        <f t="shared" si="2"/>
        <v>262.78312499999998</v>
      </c>
      <c r="J12" s="25">
        <f>(F12/(1+'Autres hypothèses'!$D$5))*('Autres hypothèses'!$D$5/(((1+'Autres hypothèses'!$D$5)^'Conduite principale'!H12-1)))</f>
        <v>171.07129635884087</v>
      </c>
      <c r="K12" s="26">
        <v>1953</v>
      </c>
      <c r="L12" s="22">
        <f t="shared" si="3"/>
        <v>69</v>
      </c>
      <c r="M12" s="1">
        <f t="shared" si="4"/>
        <v>0.86250000000000004</v>
      </c>
      <c r="N12" s="3">
        <f t="shared" si="0"/>
        <v>18132.035625</v>
      </c>
      <c r="O12" s="3">
        <f t="shared" si="1"/>
        <v>2890.6143749999974</v>
      </c>
      <c r="P12">
        <f t="shared" si="5"/>
        <v>2033</v>
      </c>
      <c r="Q12">
        <f t="shared" si="6"/>
        <v>2113</v>
      </c>
    </row>
    <row r="13" spans="1:17" x14ac:dyDescent="0.25">
      <c r="A13" s="15" t="s">
        <v>174</v>
      </c>
      <c r="B13" s="5" t="s">
        <v>2652</v>
      </c>
      <c r="C13" s="5">
        <v>300</v>
      </c>
      <c r="D13" s="21">
        <v>35.5</v>
      </c>
      <c r="E13" s="24">
        <f>VLOOKUP(C13,'Taux unitaires'!H:I,2,FALSE)</f>
        <v>1534.5</v>
      </c>
      <c r="F13" s="25">
        <f t="shared" si="7"/>
        <v>54474.75</v>
      </c>
      <c r="G13" s="26">
        <f>VLOOKUP(B13,'Durée de vie utile'!$C$20:$E$25,3,FALSE)</f>
        <v>100</v>
      </c>
      <c r="H13" s="26">
        <f>VLOOKUP('Conduite principale'!B13,'Durée de vie utile'!$C$20:$E$25,2,FALSE)</f>
        <v>70</v>
      </c>
      <c r="I13" s="25">
        <f t="shared" si="2"/>
        <v>778.21071428571429</v>
      </c>
      <c r="J13" s="25">
        <f>(F13/(1+'Autres hypothèses'!$D$5))*('Autres hypothèses'!$D$5/(((1+'Autres hypothèses'!$D$5)^'Conduite principale'!H13-1)))</f>
        <v>535.73061687343738</v>
      </c>
      <c r="K13" s="26">
        <v>1958</v>
      </c>
      <c r="L13" s="22">
        <f t="shared" si="3"/>
        <v>64</v>
      </c>
      <c r="M13" s="1">
        <f t="shared" si="4"/>
        <v>0.91428571428571426</v>
      </c>
      <c r="N13" s="3">
        <f t="shared" si="0"/>
        <v>49805.485714285714</v>
      </c>
      <c r="O13" s="3">
        <f t="shared" si="1"/>
        <v>4669.2642857142855</v>
      </c>
      <c r="P13">
        <f t="shared" si="5"/>
        <v>2028</v>
      </c>
      <c r="Q13">
        <f t="shared" si="6"/>
        <v>2098</v>
      </c>
    </row>
    <row r="14" spans="1:17" x14ac:dyDescent="0.25">
      <c r="A14" s="15" t="s">
        <v>175</v>
      </c>
      <c r="B14" s="5" t="s">
        <v>2653</v>
      </c>
      <c r="C14" s="5">
        <v>450</v>
      </c>
      <c r="D14" s="21">
        <v>8.6</v>
      </c>
      <c r="E14" s="24">
        <f>VLOOKUP(C14,'Taux unitaires'!H:I,2,FALSE)</f>
        <v>1581</v>
      </c>
      <c r="F14" s="25">
        <f t="shared" si="7"/>
        <v>13596.599999999999</v>
      </c>
      <c r="G14" s="26">
        <f>VLOOKUP(B14,'Durée de vie utile'!$C$20:$E$25,3,FALSE)</f>
        <v>100</v>
      </c>
      <c r="H14" s="26">
        <f>VLOOKUP('Conduite principale'!B14,'Durée de vie utile'!$C$20:$E$25,2,FALSE)</f>
        <v>80</v>
      </c>
      <c r="I14" s="25">
        <f t="shared" si="2"/>
        <v>169.95749999999998</v>
      </c>
      <c r="J14" s="25">
        <f>(F14/(1+'Autres hypothèses'!$D$5))*('Autres hypothèses'!$D$5/(((1+'Autres hypothèses'!$D$5)^'Conduite principale'!H14-1)))</f>
        <v>110.64199746809349</v>
      </c>
      <c r="K14" s="26">
        <v>1956</v>
      </c>
      <c r="L14" s="22">
        <f t="shared" si="3"/>
        <v>66</v>
      </c>
      <c r="M14" s="1">
        <f t="shared" si="4"/>
        <v>0.82499999999999996</v>
      </c>
      <c r="N14" s="3">
        <f t="shared" si="0"/>
        <v>11217.194999999998</v>
      </c>
      <c r="O14" s="3">
        <f t="shared" si="1"/>
        <v>2379.4050000000007</v>
      </c>
      <c r="P14">
        <f t="shared" si="5"/>
        <v>2036</v>
      </c>
      <c r="Q14">
        <f t="shared" si="6"/>
        <v>2116</v>
      </c>
    </row>
    <row r="15" spans="1:17" x14ac:dyDescent="0.25">
      <c r="A15" s="15" t="s">
        <v>176</v>
      </c>
      <c r="B15" s="5" t="s">
        <v>2654</v>
      </c>
      <c r="C15" s="5">
        <v>300</v>
      </c>
      <c r="D15" s="21">
        <v>39.700000000000003</v>
      </c>
      <c r="E15" s="24">
        <f>VLOOKUP(C15,'Taux unitaires'!H:I,2,FALSE)</f>
        <v>1534.5</v>
      </c>
      <c r="F15" s="25">
        <f t="shared" si="7"/>
        <v>60919.65</v>
      </c>
      <c r="G15" s="26">
        <f>VLOOKUP(B15,'Durée de vie utile'!$C$20:$E$25,3,FALSE)</f>
        <v>100</v>
      </c>
      <c r="H15" s="26">
        <f>VLOOKUP('Conduite principale'!B15,'Durée de vie utile'!$C$20:$E$25,2,FALSE)</f>
        <v>80</v>
      </c>
      <c r="I15" s="25">
        <f t="shared" si="2"/>
        <v>761.49562500000002</v>
      </c>
      <c r="J15" s="25">
        <f>(F15/(1+'Autres hypothèses'!$D$5))*('Autres hypothèses'!$D$5/(((1+'Autres hypothèses'!$D$5)^'Conduite principale'!H15-1)))</f>
        <v>495.73215076248056</v>
      </c>
      <c r="K15" s="26">
        <v>1956</v>
      </c>
      <c r="L15" s="22">
        <f t="shared" si="3"/>
        <v>66</v>
      </c>
      <c r="M15" s="1">
        <f t="shared" si="4"/>
        <v>0.82499999999999996</v>
      </c>
      <c r="N15" s="3">
        <f t="shared" si="0"/>
        <v>50258.71125</v>
      </c>
      <c r="O15" s="3">
        <f t="shared" si="1"/>
        <v>10660.938750000001</v>
      </c>
      <c r="P15">
        <f t="shared" si="5"/>
        <v>2036</v>
      </c>
      <c r="Q15">
        <f t="shared" si="6"/>
        <v>2116</v>
      </c>
    </row>
    <row r="16" spans="1:17" x14ac:dyDescent="0.25">
      <c r="A16" s="15" t="s">
        <v>177</v>
      </c>
      <c r="B16" s="5" t="s">
        <v>2655</v>
      </c>
      <c r="C16" s="5">
        <v>375</v>
      </c>
      <c r="D16" s="21">
        <v>26.1</v>
      </c>
      <c r="E16" s="24">
        <f>VLOOKUP(C16,'Taux unitaires'!H:I,2,FALSE)</f>
        <v>1534.5</v>
      </c>
      <c r="F16" s="25">
        <f t="shared" si="7"/>
        <v>40050.450000000004</v>
      </c>
      <c r="G16" s="26">
        <f>VLOOKUP(B16,'Durée de vie utile'!$C$20:$E$25,3,FALSE)</f>
        <v>100</v>
      </c>
      <c r="H16" s="26">
        <f>VLOOKUP('Conduite principale'!B16,'Durée de vie utile'!$C$20:$E$25,2,FALSE)</f>
        <v>80</v>
      </c>
      <c r="I16" s="25">
        <f t="shared" si="2"/>
        <v>500.63062500000007</v>
      </c>
      <c r="J16" s="25">
        <f>(F16/(1+'Autres hypothèses'!$D$5))*('Autres hypothèses'!$D$5/(((1+'Autres hypothèses'!$D$5)^'Conduite principale'!H16-1)))</f>
        <v>325.90954999749982</v>
      </c>
      <c r="K16" s="26">
        <v>1956</v>
      </c>
      <c r="L16" s="22">
        <f t="shared" si="3"/>
        <v>66</v>
      </c>
      <c r="M16" s="1">
        <f t="shared" si="4"/>
        <v>0.82499999999999996</v>
      </c>
      <c r="N16" s="3">
        <f t="shared" si="0"/>
        <v>33041.621250000004</v>
      </c>
      <c r="O16" s="3">
        <f t="shared" si="1"/>
        <v>7008.8287500000006</v>
      </c>
      <c r="P16">
        <f t="shared" si="5"/>
        <v>2036</v>
      </c>
      <c r="Q16">
        <f t="shared" si="6"/>
        <v>2116</v>
      </c>
    </row>
    <row r="17" spans="1:17" x14ac:dyDescent="0.25">
      <c r="A17" s="15" t="s">
        <v>178</v>
      </c>
      <c r="B17" s="5" t="s">
        <v>2656</v>
      </c>
      <c r="C17" s="5">
        <v>200</v>
      </c>
      <c r="D17" s="21">
        <v>86.199999999999989</v>
      </c>
      <c r="E17" s="24">
        <f>VLOOKUP(C17,'Taux unitaires'!H:I,2,FALSE)</f>
        <v>1441.5</v>
      </c>
      <c r="F17" s="25">
        <f t="shared" si="7"/>
        <v>124257.29999999999</v>
      </c>
      <c r="G17" s="26">
        <f>VLOOKUP(B17,'Durée de vie utile'!$C$20:$E$25,3,FALSE)</f>
        <v>100</v>
      </c>
      <c r="H17" s="26">
        <f>VLOOKUP('Conduite principale'!B17,'Durée de vie utile'!$C$20:$E$25,2,FALSE)</f>
        <v>80</v>
      </c>
      <c r="I17" s="25">
        <f t="shared" si="2"/>
        <v>1553.2162499999999</v>
      </c>
      <c r="J17" s="25">
        <f>(F17/(1+'Autres hypothèses'!$D$5))*('Autres hypothèses'!$D$5/(((1+'Autres hypothèses'!$D$5)^'Conduite principale'!H17-1)))</f>
        <v>1011.1407169433633</v>
      </c>
      <c r="K17" s="26">
        <v>1956</v>
      </c>
      <c r="L17" s="22">
        <f t="shared" si="3"/>
        <v>66</v>
      </c>
      <c r="M17" s="1">
        <f t="shared" si="4"/>
        <v>0.82499999999999996</v>
      </c>
      <c r="N17" s="3">
        <f t="shared" si="0"/>
        <v>102512.27249999999</v>
      </c>
      <c r="O17" s="3">
        <f t="shared" si="1"/>
        <v>21745.027499999997</v>
      </c>
      <c r="P17">
        <f t="shared" si="5"/>
        <v>2036</v>
      </c>
      <c r="Q17">
        <f t="shared" si="6"/>
        <v>2116</v>
      </c>
    </row>
    <row r="18" spans="1:17" x14ac:dyDescent="0.25">
      <c r="A18" s="15" t="s">
        <v>179</v>
      </c>
      <c r="B18" s="5" t="s">
        <v>2657</v>
      </c>
      <c r="C18" s="5">
        <v>300</v>
      </c>
      <c r="D18" s="21">
        <v>3.9</v>
      </c>
      <c r="E18" s="24">
        <f>VLOOKUP(C18,'Taux unitaires'!H:I,2,FALSE)</f>
        <v>1534.5</v>
      </c>
      <c r="F18" s="25">
        <f t="shared" si="7"/>
        <v>5984.55</v>
      </c>
      <c r="G18" s="26">
        <f>VLOOKUP(B18,'Durée de vie utile'!$C$20:$E$25,3,FALSE)</f>
        <v>100</v>
      </c>
      <c r="H18" s="26">
        <f>VLOOKUP('Conduite principale'!B18,'Durée de vie utile'!$C$20:$E$25,2,FALSE)</f>
        <v>80</v>
      </c>
      <c r="I18" s="25">
        <f t="shared" si="2"/>
        <v>74.806875000000005</v>
      </c>
      <c r="J18" s="25">
        <f>(F18/(1+'Autres hypothèses'!$D$5))*('Autres hypothèses'!$D$5/(((1+'Autres hypothèses'!$D$5)^'Conduite principale'!H18-1)))</f>
        <v>48.699128160545946</v>
      </c>
      <c r="K18" s="26">
        <v>1957</v>
      </c>
      <c r="L18" s="22">
        <f t="shared" si="3"/>
        <v>65</v>
      </c>
      <c r="M18" s="1">
        <f t="shared" si="4"/>
        <v>0.8125</v>
      </c>
      <c r="N18" s="3">
        <f t="shared" si="0"/>
        <v>4862.4468750000005</v>
      </c>
      <c r="O18" s="3">
        <f t="shared" si="1"/>
        <v>1122.1031249999996</v>
      </c>
      <c r="P18">
        <f t="shared" si="5"/>
        <v>2037</v>
      </c>
      <c r="Q18">
        <f t="shared" si="6"/>
        <v>2117</v>
      </c>
    </row>
    <row r="19" spans="1:17" x14ac:dyDescent="0.25">
      <c r="A19" s="15" t="s">
        <v>180</v>
      </c>
      <c r="B19" s="5" t="s">
        <v>2658</v>
      </c>
      <c r="C19" s="5">
        <v>300</v>
      </c>
      <c r="D19" s="21">
        <v>3.1</v>
      </c>
      <c r="E19" s="24">
        <f>VLOOKUP(C19,'Taux unitaires'!H:I,2,FALSE)</f>
        <v>1534.5</v>
      </c>
      <c r="F19" s="25">
        <f t="shared" si="7"/>
        <v>4756.95</v>
      </c>
      <c r="G19" s="26">
        <f>VLOOKUP(B19,'Durée de vie utile'!$C$20:$E$25,3,FALSE)</f>
        <v>100</v>
      </c>
      <c r="H19" s="26">
        <f>VLOOKUP('Conduite principale'!B19,'Durée de vie utile'!$C$20:$E$25,2,FALSE)</f>
        <v>80</v>
      </c>
      <c r="I19" s="25">
        <f t="shared" si="2"/>
        <v>59.461874999999999</v>
      </c>
      <c r="J19" s="25">
        <f>(F19/(1+'Autres hypothèses'!$D$5))*('Autres hypothèses'!$D$5/(((1+'Autres hypothèses'!$D$5)^'Conduite principale'!H19-1)))</f>
        <v>38.709563409664725</v>
      </c>
      <c r="K19" s="26">
        <v>1958</v>
      </c>
      <c r="L19" s="22">
        <f t="shared" si="3"/>
        <v>64</v>
      </c>
      <c r="M19" s="1">
        <f t="shared" si="4"/>
        <v>0.8</v>
      </c>
      <c r="N19" s="3">
        <f t="shared" si="0"/>
        <v>3805.56</v>
      </c>
      <c r="O19" s="3">
        <f t="shared" si="1"/>
        <v>951.38999999999987</v>
      </c>
      <c r="P19">
        <f t="shared" si="5"/>
        <v>2038</v>
      </c>
      <c r="Q19">
        <f t="shared" si="6"/>
        <v>2118</v>
      </c>
    </row>
    <row r="20" spans="1:17" x14ac:dyDescent="0.25">
      <c r="A20" s="15" t="s">
        <v>181</v>
      </c>
      <c r="B20" s="5" t="s">
        <v>2659</v>
      </c>
      <c r="C20" s="5">
        <v>300</v>
      </c>
      <c r="D20" s="21">
        <v>31.900000000000002</v>
      </c>
      <c r="E20" s="24">
        <f>VLOOKUP(C20,'Taux unitaires'!H:I,2,FALSE)</f>
        <v>1534.5</v>
      </c>
      <c r="F20" s="25">
        <f t="shared" si="7"/>
        <v>48950.55</v>
      </c>
      <c r="G20" s="26">
        <f>VLOOKUP(B20,'Durée de vie utile'!$C$20:$E$25,3,FALSE)</f>
        <v>100</v>
      </c>
      <c r="H20" s="26">
        <f>VLOOKUP('Conduite principale'!B20,'Durée de vie utile'!$C$20:$E$25,2,FALSE)</f>
        <v>80</v>
      </c>
      <c r="I20" s="25">
        <f t="shared" si="2"/>
        <v>611.88187500000004</v>
      </c>
      <c r="J20" s="25">
        <f>(F20/(1+'Autres hypothèses'!$D$5))*('Autres hypothèses'!$D$5/(((1+'Autres hypothèses'!$D$5)^'Conduite principale'!H20-1)))</f>
        <v>398.33389444138862</v>
      </c>
      <c r="K20" s="26">
        <v>1958</v>
      </c>
      <c r="L20" s="22">
        <f t="shared" si="3"/>
        <v>64</v>
      </c>
      <c r="M20" s="1">
        <f t="shared" si="4"/>
        <v>0.8</v>
      </c>
      <c r="N20" s="3">
        <f t="shared" si="0"/>
        <v>39160.44</v>
      </c>
      <c r="O20" s="3">
        <f t="shared" si="1"/>
        <v>9790.11</v>
      </c>
      <c r="P20">
        <f t="shared" si="5"/>
        <v>2038</v>
      </c>
      <c r="Q20">
        <f t="shared" si="6"/>
        <v>2118</v>
      </c>
    </row>
    <row r="21" spans="1:17" x14ac:dyDescent="0.25">
      <c r="A21" s="15" t="s">
        <v>182</v>
      </c>
      <c r="B21" s="5" t="s">
        <v>2660</v>
      </c>
      <c r="C21" s="5">
        <v>450</v>
      </c>
      <c r="D21" s="21">
        <v>71</v>
      </c>
      <c r="E21" s="24">
        <f>VLOOKUP(C21,'Taux unitaires'!H:I,2,FALSE)</f>
        <v>1581</v>
      </c>
      <c r="F21" s="25">
        <f t="shared" si="7"/>
        <v>112251</v>
      </c>
      <c r="G21" s="26">
        <f>VLOOKUP(B21,'Durée de vie utile'!$C$20:$E$25,3,FALSE)</f>
        <v>100</v>
      </c>
      <c r="H21" s="26">
        <f>VLOOKUP('Conduite principale'!B21,'Durée de vie utile'!$C$20:$E$25,2,FALSE)</f>
        <v>80</v>
      </c>
      <c r="I21" s="25">
        <f t="shared" si="2"/>
        <v>1403.1375</v>
      </c>
      <c r="J21" s="25">
        <f>(F21/(1+'Autres hypothèses'!$D$5))*('Autres hypothèses'!$D$5/(((1+'Autres hypothèses'!$D$5)^'Conduite principale'!H21-1)))</f>
        <v>913.43974653891155</v>
      </c>
      <c r="K21" s="26">
        <v>1957</v>
      </c>
      <c r="L21" s="22">
        <f t="shared" si="3"/>
        <v>65</v>
      </c>
      <c r="M21" s="1">
        <f t="shared" si="4"/>
        <v>0.8125</v>
      </c>
      <c r="N21" s="3">
        <f t="shared" si="0"/>
        <v>91203.9375</v>
      </c>
      <c r="O21" s="3">
        <f t="shared" si="1"/>
        <v>21047.0625</v>
      </c>
      <c r="P21">
        <f t="shared" si="5"/>
        <v>2037</v>
      </c>
      <c r="Q21">
        <f t="shared" si="6"/>
        <v>2117</v>
      </c>
    </row>
    <row r="22" spans="1:17" x14ac:dyDescent="0.25">
      <c r="A22" s="15" t="s">
        <v>183</v>
      </c>
      <c r="B22" s="5" t="s">
        <v>2661</v>
      </c>
      <c r="C22" s="5">
        <v>300</v>
      </c>
      <c r="D22" s="21">
        <v>10.4</v>
      </c>
      <c r="E22" s="24">
        <f>VLOOKUP(C22,'Taux unitaires'!H:I,2,FALSE)</f>
        <v>1534.5</v>
      </c>
      <c r="F22" s="25">
        <f t="shared" si="7"/>
        <v>15958.800000000001</v>
      </c>
      <c r="G22" s="26">
        <f>VLOOKUP(B22,'Durée de vie utile'!$C$20:$E$25,3,FALSE)</f>
        <v>100</v>
      </c>
      <c r="H22" s="26">
        <f>VLOOKUP('Conduite principale'!B22,'Durée de vie utile'!$C$20:$E$25,2,FALSE)</f>
        <v>80</v>
      </c>
      <c r="I22" s="25">
        <f t="shared" si="2"/>
        <v>199.48500000000001</v>
      </c>
      <c r="J22" s="25">
        <f>(F22/(1+'Autres hypothèses'!$D$5))*('Autres hypothèses'!$D$5/(((1+'Autres hypothèses'!$D$5)^'Conduite principale'!H22-1)))</f>
        <v>129.86434176145588</v>
      </c>
      <c r="K22" s="26">
        <v>1958</v>
      </c>
      <c r="L22" s="22">
        <f t="shared" si="3"/>
        <v>64</v>
      </c>
      <c r="M22" s="1">
        <f t="shared" si="4"/>
        <v>0.8</v>
      </c>
      <c r="N22" s="3">
        <f t="shared" si="0"/>
        <v>12767.04</v>
      </c>
      <c r="O22" s="3">
        <f t="shared" si="1"/>
        <v>3191.76</v>
      </c>
      <c r="P22">
        <f t="shared" si="5"/>
        <v>2038</v>
      </c>
      <c r="Q22">
        <f t="shared" si="6"/>
        <v>2118</v>
      </c>
    </row>
    <row r="23" spans="1:17" x14ac:dyDescent="0.25">
      <c r="A23" s="15" t="s">
        <v>184</v>
      </c>
      <c r="B23" s="5" t="s">
        <v>2662</v>
      </c>
      <c r="C23" s="5">
        <v>300</v>
      </c>
      <c r="D23" s="21">
        <v>89.6</v>
      </c>
      <c r="E23" s="24">
        <f>VLOOKUP(C23,'Taux unitaires'!H:I,2,FALSE)</f>
        <v>1534.5</v>
      </c>
      <c r="F23" s="25">
        <f t="shared" si="7"/>
        <v>137491.19999999998</v>
      </c>
      <c r="G23" s="26">
        <f>VLOOKUP(B23,'Durée de vie utile'!$C$20:$E$25,3,FALSE)</f>
        <v>100</v>
      </c>
      <c r="H23" s="26">
        <f>VLOOKUP('Conduite principale'!B23,'Durée de vie utile'!$C$20:$E$25,2,FALSE)</f>
        <v>80</v>
      </c>
      <c r="I23" s="25">
        <f t="shared" si="2"/>
        <v>1718.6399999999999</v>
      </c>
      <c r="J23" s="25">
        <f>(F23/(1+'Autres hypothèses'!$D$5))*('Autres hypothèses'!$D$5/(((1+'Autres hypothèses'!$D$5)^'Conduite principale'!H23-1)))</f>
        <v>1118.8312520986965</v>
      </c>
      <c r="K23" s="26">
        <v>1958</v>
      </c>
      <c r="L23" s="22">
        <f t="shared" si="3"/>
        <v>64</v>
      </c>
      <c r="M23" s="1">
        <f t="shared" si="4"/>
        <v>0.8</v>
      </c>
      <c r="N23" s="3">
        <f t="shared" si="0"/>
        <v>109992.95999999999</v>
      </c>
      <c r="O23" s="3">
        <f t="shared" si="1"/>
        <v>27498.239999999991</v>
      </c>
      <c r="P23">
        <f t="shared" si="5"/>
        <v>2038</v>
      </c>
      <c r="Q23">
        <f t="shared" si="6"/>
        <v>2118</v>
      </c>
    </row>
    <row r="24" spans="1:17" x14ac:dyDescent="0.25">
      <c r="A24" s="15" t="s">
        <v>185</v>
      </c>
      <c r="B24" s="5" t="s">
        <v>2663</v>
      </c>
      <c r="C24" s="5">
        <v>300</v>
      </c>
      <c r="D24" s="21">
        <v>97.699999999999989</v>
      </c>
      <c r="E24" s="24">
        <f>VLOOKUP(C24,'Taux unitaires'!H:I,2,FALSE)</f>
        <v>1534.5</v>
      </c>
      <c r="F24" s="25">
        <f t="shared" si="7"/>
        <v>149920.65</v>
      </c>
      <c r="G24" s="26">
        <f>VLOOKUP(B24,'Durée de vie utile'!$C$20:$E$25,3,FALSE)</f>
        <v>100</v>
      </c>
      <c r="H24" s="26">
        <f>VLOOKUP('Conduite principale'!B24,'Durée de vie utile'!$C$20:$E$25,2,FALSE)</f>
        <v>80</v>
      </c>
      <c r="I24" s="25">
        <f t="shared" si="2"/>
        <v>1874.0081249999998</v>
      </c>
      <c r="J24" s="25">
        <f>(F24/(1+'Autres hypothèses'!$D$5))*('Autres hypothèses'!$D$5/(((1+'Autres hypothèses'!$D$5)^'Conduite principale'!H24-1)))</f>
        <v>1219.9755952013688</v>
      </c>
      <c r="K24" s="26">
        <v>1958</v>
      </c>
      <c r="L24" s="22">
        <f t="shared" si="3"/>
        <v>64</v>
      </c>
      <c r="M24" s="1">
        <f t="shared" si="4"/>
        <v>0.8</v>
      </c>
      <c r="N24" s="3">
        <f t="shared" si="0"/>
        <v>119936.52</v>
      </c>
      <c r="O24" s="3">
        <f t="shared" si="1"/>
        <v>29984.12999999999</v>
      </c>
      <c r="P24">
        <f t="shared" si="5"/>
        <v>2038</v>
      </c>
      <c r="Q24">
        <f t="shared" si="6"/>
        <v>2118</v>
      </c>
    </row>
    <row r="25" spans="1:17" x14ac:dyDescent="0.25">
      <c r="A25" s="15" t="s">
        <v>186</v>
      </c>
      <c r="B25" s="5" t="s">
        <v>2664</v>
      </c>
      <c r="C25" s="5">
        <v>300</v>
      </c>
      <c r="D25" s="21">
        <v>62.6</v>
      </c>
      <c r="E25" s="24">
        <f>VLOOKUP(C25,'Taux unitaires'!H:I,2,FALSE)</f>
        <v>1534.5</v>
      </c>
      <c r="F25" s="25">
        <f t="shared" si="7"/>
        <v>96059.7</v>
      </c>
      <c r="G25" s="26">
        <f>VLOOKUP(B25,'Durée de vie utile'!$C$20:$E$25,3,FALSE)</f>
        <v>100</v>
      </c>
      <c r="H25" s="26">
        <f>VLOOKUP('Conduite principale'!B25,'Durée de vie utile'!$C$20:$E$25,2,FALSE)</f>
        <v>80</v>
      </c>
      <c r="I25" s="25">
        <f t="shared" si="2"/>
        <v>1200.7462499999999</v>
      </c>
      <c r="J25" s="25">
        <f>(F25/(1+'Autres hypothèses'!$D$5))*('Autres hypothèses'!$D$5/(((1+'Autres hypothèses'!$D$5)^'Conduite principale'!H25-1)))</f>
        <v>781.68344175645541</v>
      </c>
      <c r="K25" s="26">
        <v>1958</v>
      </c>
      <c r="L25" s="22">
        <f t="shared" si="3"/>
        <v>64</v>
      </c>
      <c r="M25" s="1">
        <f t="shared" si="4"/>
        <v>0.8</v>
      </c>
      <c r="N25" s="3">
        <f t="shared" si="0"/>
        <v>76847.759999999995</v>
      </c>
      <c r="O25" s="3">
        <f t="shared" si="1"/>
        <v>19211.940000000002</v>
      </c>
      <c r="P25">
        <f t="shared" si="5"/>
        <v>2038</v>
      </c>
      <c r="Q25">
        <f t="shared" si="6"/>
        <v>2118</v>
      </c>
    </row>
    <row r="26" spans="1:17" x14ac:dyDescent="0.25">
      <c r="A26" s="15" t="s">
        <v>187</v>
      </c>
      <c r="B26" s="5" t="s">
        <v>2665</v>
      </c>
      <c r="C26" s="5">
        <v>300</v>
      </c>
      <c r="D26" s="21">
        <v>20.6</v>
      </c>
      <c r="E26" s="24">
        <f>VLOOKUP(C26,'Taux unitaires'!H:I,2,FALSE)</f>
        <v>1534.5</v>
      </c>
      <c r="F26" s="25">
        <f t="shared" si="7"/>
        <v>31610.7</v>
      </c>
      <c r="G26" s="26">
        <f>VLOOKUP(B26,'Durée de vie utile'!$C$20:$E$25,3,FALSE)</f>
        <v>100</v>
      </c>
      <c r="H26" s="26">
        <f>VLOOKUP('Conduite principale'!B26,'Durée de vie utile'!$C$20:$E$25,2,FALSE)</f>
        <v>80</v>
      </c>
      <c r="I26" s="25">
        <f t="shared" si="2"/>
        <v>395.13375000000002</v>
      </c>
      <c r="J26" s="25">
        <f>(F26/(1+'Autres hypothèses'!$D$5))*('Autres hypothèses'!$D$5/(((1+'Autres hypothèses'!$D$5)^'Conduite principale'!H26-1)))</f>
        <v>257.23129233519143</v>
      </c>
      <c r="K26" s="26">
        <v>1963</v>
      </c>
      <c r="L26" s="22">
        <f t="shared" si="3"/>
        <v>59</v>
      </c>
      <c r="M26" s="1">
        <f t="shared" si="4"/>
        <v>0.73750000000000004</v>
      </c>
      <c r="N26" s="3">
        <f t="shared" si="0"/>
        <v>23312.891250000001</v>
      </c>
      <c r="O26" s="3">
        <f t="shared" si="1"/>
        <v>8297.8087500000001</v>
      </c>
      <c r="P26">
        <f t="shared" si="5"/>
        <v>2043</v>
      </c>
      <c r="Q26">
        <f t="shared" si="6"/>
        <v>2123</v>
      </c>
    </row>
    <row r="27" spans="1:17" x14ac:dyDescent="0.25">
      <c r="A27" s="15" t="s">
        <v>188</v>
      </c>
      <c r="B27" s="5" t="s">
        <v>2666</v>
      </c>
      <c r="C27" s="5">
        <v>300</v>
      </c>
      <c r="D27" s="21">
        <v>13</v>
      </c>
      <c r="E27" s="24">
        <f>VLOOKUP(C27,'Taux unitaires'!H:I,2,FALSE)</f>
        <v>1534.5</v>
      </c>
      <c r="F27" s="25">
        <f t="shared" si="7"/>
        <v>19948.5</v>
      </c>
      <c r="G27" s="26">
        <f>VLOOKUP(B27,'Durée de vie utile'!$C$20:$E$25,3,FALSE)</f>
        <v>100</v>
      </c>
      <c r="H27" s="26">
        <f>VLOOKUP('Conduite principale'!B27,'Durée de vie utile'!$C$20:$E$25,2,FALSE)</f>
        <v>80</v>
      </c>
      <c r="I27" s="25">
        <f t="shared" si="2"/>
        <v>249.35624999999999</v>
      </c>
      <c r="J27" s="25">
        <f>(F27/(1+'Autres hypothèses'!$D$5))*('Autres hypothèses'!$D$5/(((1+'Autres hypothèses'!$D$5)^'Conduite principale'!H27-1)))</f>
        <v>162.33042720181982</v>
      </c>
      <c r="K27" s="26">
        <v>1958</v>
      </c>
      <c r="L27" s="22">
        <f t="shared" si="3"/>
        <v>64</v>
      </c>
      <c r="M27" s="1">
        <f t="shared" si="4"/>
        <v>0.8</v>
      </c>
      <c r="N27" s="3">
        <f t="shared" si="0"/>
        <v>15958.800000000001</v>
      </c>
      <c r="O27" s="3">
        <f t="shared" si="1"/>
        <v>3989.6999999999989</v>
      </c>
      <c r="P27">
        <f t="shared" si="5"/>
        <v>2038</v>
      </c>
      <c r="Q27">
        <f t="shared" si="6"/>
        <v>2118</v>
      </c>
    </row>
    <row r="28" spans="1:17" x14ac:dyDescent="0.25">
      <c r="A28" s="15" t="s">
        <v>189</v>
      </c>
      <c r="B28" s="5" t="s">
        <v>2667</v>
      </c>
      <c r="C28" s="5">
        <v>200</v>
      </c>
      <c r="D28" s="21">
        <v>41.2</v>
      </c>
      <c r="E28" s="24">
        <f>VLOOKUP(C28,'Taux unitaires'!H:I,2,FALSE)</f>
        <v>1441.5</v>
      </c>
      <c r="F28" s="25">
        <f t="shared" si="7"/>
        <v>59389.8</v>
      </c>
      <c r="G28" s="26">
        <f>VLOOKUP(B28,'Durée de vie utile'!$C$20:$E$25,3,FALSE)</f>
        <v>100</v>
      </c>
      <c r="H28" s="26">
        <f>VLOOKUP('Conduite principale'!B28,'Durée de vie utile'!$C$20:$E$25,2,FALSE)</f>
        <v>80</v>
      </c>
      <c r="I28" s="25">
        <f t="shared" si="2"/>
        <v>742.37250000000006</v>
      </c>
      <c r="J28" s="25">
        <f>(F28/(1+'Autres hypothèses'!$D$5))*('Autres hypothèses'!$D$5/(((1+'Autres hypothèses'!$D$5)^'Conduite principale'!H28-1)))</f>
        <v>483.283034084299</v>
      </c>
      <c r="K28" s="26">
        <v>1959</v>
      </c>
      <c r="L28" s="22">
        <f t="shared" si="3"/>
        <v>63</v>
      </c>
      <c r="M28" s="1">
        <f t="shared" si="4"/>
        <v>0.78749999999999998</v>
      </c>
      <c r="N28" s="3">
        <f t="shared" si="0"/>
        <v>46769.467499999999</v>
      </c>
      <c r="O28" s="3">
        <f t="shared" si="1"/>
        <v>12620.332500000004</v>
      </c>
      <c r="P28">
        <f t="shared" si="5"/>
        <v>2039</v>
      </c>
      <c r="Q28">
        <f t="shared" si="6"/>
        <v>2119</v>
      </c>
    </row>
    <row r="29" spans="1:17" x14ac:dyDescent="0.25">
      <c r="A29" s="15" t="s">
        <v>190</v>
      </c>
      <c r="B29" s="5" t="s">
        <v>2668</v>
      </c>
      <c r="C29" s="5">
        <v>200</v>
      </c>
      <c r="D29" s="21">
        <v>28.3</v>
      </c>
      <c r="E29" s="24">
        <f>VLOOKUP(C29,'Taux unitaires'!H:I,2,FALSE)</f>
        <v>1441.5</v>
      </c>
      <c r="F29" s="25">
        <f t="shared" si="7"/>
        <v>40794.450000000004</v>
      </c>
      <c r="G29" s="26">
        <f>VLOOKUP(B29,'Durée de vie utile'!$C$20:$E$25,3,FALSE)</f>
        <v>100</v>
      </c>
      <c r="H29" s="26">
        <f>VLOOKUP('Conduite principale'!B29,'Durée de vie utile'!$C$20:$E$25,2,FALSE)</f>
        <v>80</v>
      </c>
      <c r="I29" s="25">
        <f t="shared" si="2"/>
        <v>509.93062500000008</v>
      </c>
      <c r="J29" s="25">
        <f>(F29/(1+'Autres hypothèses'!$D$5))*('Autres hypothèses'!$D$5/(((1+'Autres hypothèses'!$D$5)^'Conduite principale'!H29-1)))</f>
        <v>331.96383166470054</v>
      </c>
      <c r="K29" s="26">
        <v>1959</v>
      </c>
      <c r="L29" s="22">
        <f t="shared" si="3"/>
        <v>63</v>
      </c>
      <c r="M29" s="1">
        <f t="shared" si="4"/>
        <v>0.78749999999999998</v>
      </c>
      <c r="N29" s="3">
        <f t="shared" si="0"/>
        <v>32125.629375000004</v>
      </c>
      <c r="O29" s="3">
        <f t="shared" si="1"/>
        <v>8668.8206250000003</v>
      </c>
      <c r="P29">
        <f t="shared" si="5"/>
        <v>2039</v>
      </c>
      <c r="Q29">
        <f t="shared" si="6"/>
        <v>2119</v>
      </c>
    </row>
    <row r="30" spans="1:17" x14ac:dyDescent="0.25">
      <c r="A30" s="15" t="s">
        <v>191</v>
      </c>
      <c r="B30" s="5" t="s">
        <v>2669</v>
      </c>
      <c r="C30" s="5">
        <v>200</v>
      </c>
      <c r="D30" s="21">
        <v>22.1</v>
      </c>
      <c r="E30" s="24">
        <f>VLOOKUP(C30,'Taux unitaires'!H:I,2,FALSE)</f>
        <v>1441.5</v>
      </c>
      <c r="F30" s="25">
        <f t="shared" si="7"/>
        <v>31857.15</v>
      </c>
      <c r="G30" s="26">
        <f>VLOOKUP(B30,'Durée de vie utile'!$C$20:$E$25,3,FALSE)</f>
        <v>100</v>
      </c>
      <c r="H30" s="26">
        <f>VLOOKUP('Conduite principale'!B30,'Durée de vie utile'!$C$20:$E$25,2,FALSE)</f>
        <v>80</v>
      </c>
      <c r="I30" s="25">
        <f t="shared" si="2"/>
        <v>398.21437500000002</v>
      </c>
      <c r="J30" s="25">
        <f>(F30/(1+'Autres hypothèses'!$D$5))*('Autres hypothèses'!$D$5/(((1+'Autres hypothèses'!$D$5)^'Conduite principale'!H30-1)))</f>
        <v>259.23677313745168</v>
      </c>
      <c r="K30" s="26">
        <v>1963</v>
      </c>
      <c r="L30" s="22">
        <f t="shared" si="3"/>
        <v>59</v>
      </c>
      <c r="M30" s="1">
        <f t="shared" si="4"/>
        <v>0.73750000000000004</v>
      </c>
      <c r="N30" s="3">
        <f t="shared" si="0"/>
        <v>23494.648125000003</v>
      </c>
      <c r="O30" s="3">
        <f t="shared" si="1"/>
        <v>8362.5018749999981</v>
      </c>
      <c r="P30">
        <f t="shared" si="5"/>
        <v>2043</v>
      </c>
      <c r="Q30">
        <f t="shared" si="6"/>
        <v>2123</v>
      </c>
    </row>
    <row r="31" spans="1:17" x14ac:dyDescent="0.25">
      <c r="A31" s="15" t="s">
        <v>192</v>
      </c>
      <c r="B31" s="5" t="s">
        <v>2670</v>
      </c>
      <c r="C31" s="5">
        <v>200</v>
      </c>
      <c r="D31" s="21">
        <v>24.5</v>
      </c>
      <c r="E31" s="24">
        <f>VLOOKUP(C31,'Taux unitaires'!H:I,2,FALSE)</f>
        <v>1441.5</v>
      </c>
      <c r="F31" s="25">
        <f t="shared" si="7"/>
        <v>35316.75</v>
      </c>
      <c r="G31" s="26">
        <f>VLOOKUP(B31,'Durée de vie utile'!$C$20:$E$25,3,FALSE)</f>
        <v>100</v>
      </c>
      <c r="H31" s="26">
        <f>VLOOKUP('Conduite principale'!B31,'Durée de vie utile'!$C$20:$E$25,2,FALSE)</f>
        <v>80</v>
      </c>
      <c r="I31" s="25">
        <f t="shared" si="2"/>
        <v>441.45937500000002</v>
      </c>
      <c r="J31" s="25">
        <f>(F31/(1+'Autres hypothèses'!$D$5))*('Autres hypothèses'!$D$5/(((1+'Autres hypothèses'!$D$5)^'Conduite principale'!H31-1)))</f>
        <v>287.38918288993506</v>
      </c>
      <c r="K31" s="26">
        <v>1959</v>
      </c>
      <c r="L31" s="22">
        <f t="shared" si="3"/>
        <v>63</v>
      </c>
      <c r="M31" s="1">
        <f t="shared" si="4"/>
        <v>0.78749999999999998</v>
      </c>
      <c r="N31" s="3">
        <f t="shared" si="0"/>
        <v>27811.940624999999</v>
      </c>
      <c r="O31" s="3">
        <f t="shared" si="1"/>
        <v>7504.8093750000007</v>
      </c>
      <c r="P31">
        <f t="shared" si="5"/>
        <v>2039</v>
      </c>
      <c r="Q31">
        <f t="shared" si="6"/>
        <v>2119</v>
      </c>
    </row>
    <row r="32" spans="1:17" x14ac:dyDescent="0.25">
      <c r="A32" s="15" t="s">
        <v>193</v>
      </c>
      <c r="B32" s="5" t="s">
        <v>2671</v>
      </c>
      <c r="C32" s="5">
        <v>200</v>
      </c>
      <c r="D32" s="21">
        <v>48.7</v>
      </c>
      <c r="E32" s="24">
        <f>VLOOKUP(C32,'Taux unitaires'!H:I,2,FALSE)</f>
        <v>1441.5</v>
      </c>
      <c r="F32" s="25">
        <f t="shared" si="7"/>
        <v>70201.05</v>
      </c>
      <c r="G32" s="26">
        <f>VLOOKUP(B32,'Durée de vie utile'!$C$20:$E$25,3,FALSE)</f>
        <v>100</v>
      </c>
      <c r="H32" s="26">
        <f>VLOOKUP('Conduite principale'!B32,'Durée de vie utile'!$C$20:$E$25,2,FALSE)</f>
        <v>80</v>
      </c>
      <c r="I32" s="25">
        <f t="shared" si="2"/>
        <v>877.51312500000006</v>
      </c>
      <c r="J32" s="25">
        <f>(F32/(1+'Autres hypothèses'!$D$5))*('Autres hypothèses'!$D$5/(((1+'Autres hypothèses'!$D$5)^'Conduite principale'!H32-1)))</f>
        <v>571.25931456080968</v>
      </c>
      <c r="K32" s="26">
        <v>1959</v>
      </c>
      <c r="L32" s="22">
        <f t="shared" si="3"/>
        <v>63</v>
      </c>
      <c r="M32" s="1">
        <f t="shared" si="4"/>
        <v>0.78749999999999998</v>
      </c>
      <c r="N32" s="3">
        <f t="shared" si="0"/>
        <v>55283.326874999999</v>
      </c>
      <c r="O32" s="3">
        <f t="shared" si="1"/>
        <v>14917.723125000004</v>
      </c>
      <c r="P32">
        <f t="shared" si="5"/>
        <v>2039</v>
      </c>
      <c r="Q32">
        <f t="shared" si="6"/>
        <v>2119</v>
      </c>
    </row>
    <row r="33" spans="1:17" x14ac:dyDescent="0.25">
      <c r="A33" s="15" t="s">
        <v>194</v>
      </c>
      <c r="B33" s="5" t="s">
        <v>2672</v>
      </c>
      <c r="C33" s="5">
        <v>300</v>
      </c>
      <c r="D33" s="21">
        <v>88.5</v>
      </c>
      <c r="E33" s="24">
        <f>VLOOKUP(C33,'Taux unitaires'!H:I,2,FALSE)</f>
        <v>1534.5</v>
      </c>
      <c r="F33" s="25">
        <f t="shared" si="7"/>
        <v>135803.25</v>
      </c>
      <c r="G33" s="26">
        <f>VLOOKUP(B33,'Durée de vie utile'!$C$20:$E$25,3,FALSE)</f>
        <v>100</v>
      </c>
      <c r="H33" s="26">
        <f>VLOOKUP('Conduite principale'!B33,'Durée de vie utile'!$C$20:$E$25,2,FALSE)</f>
        <v>80</v>
      </c>
      <c r="I33" s="25">
        <f t="shared" si="2"/>
        <v>1697.5406250000001</v>
      </c>
      <c r="J33" s="25">
        <f>(F33/(1+'Autres hypothèses'!$D$5))*('Autres hypothèses'!$D$5/(((1+'Autres hypothèses'!$D$5)^'Conduite principale'!H33-1)))</f>
        <v>1105.0956005662349</v>
      </c>
      <c r="K33" s="26">
        <v>1963</v>
      </c>
      <c r="L33" s="22">
        <f t="shared" si="3"/>
        <v>59</v>
      </c>
      <c r="M33" s="1">
        <f t="shared" si="4"/>
        <v>0.73750000000000004</v>
      </c>
      <c r="N33" s="3">
        <f t="shared" si="0"/>
        <v>100154.89687500001</v>
      </c>
      <c r="O33" s="3">
        <f t="shared" si="1"/>
        <v>35648.353124999994</v>
      </c>
      <c r="P33">
        <f t="shared" si="5"/>
        <v>2043</v>
      </c>
      <c r="Q33">
        <f t="shared" si="6"/>
        <v>2123</v>
      </c>
    </row>
    <row r="34" spans="1:17" x14ac:dyDescent="0.25">
      <c r="A34" s="15" t="s">
        <v>195</v>
      </c>
      <c r="B34" s="5" t="s">
        <v>2673</v>
      </c>
      <c r="C34" s="5">
        <v>375</v>
      </c>
      <c r="D34" s="21">
        <v>97.699999999999989</v>
      </c>
      <c r="E34" s="24">
        <f>VLOOKUP(C34,'Taux unitaires'!H:I,2,FALSE)</f>
        <v>1534.5</v>
      </c>
      <c r="F34" s="25">
        <f t="shared" si="7"/>
        <v>149920.65</v>
      </c>
      <c r="G34" s="26">
        <f>VLOOKUP(B34,'Durée de vie utile'!$C$20:$E$25,3,FALSE)</f>
        <v>100</v>
      </c>
      <c r="H34" s="26">
        <f>VLOOKUP('Conduite principale'!B34,'Durée de vie utile'!$C$20:$E$25,2,FALSE)</f>
        <v>80</v>
      </c>
      <c r="I34" s="25">
        <f t="shared" si="2"/>
        <v>1874.0081249999998</v>
      </c>
      <c r="J34" s="25">
        <f>(F34/(1+'Autres hypothèses'!$D$5))*('Autres hypothèses'!$D$5/(((1+'Autres hypothèses'!$D$5)^'Conduite principale'!H34-1)))</f>
        <v>1219.9755952013688</v>
      </c>
      <c r="K34" s="26">
        <v>1960</v>
      </c>
      <c r="L34" s="22">
        <f t="shared" si="3"/>
        <v>62</v>
      </c>
      <c r="M34" s="1">
        <f t="shared" si="4"/>
        <v>0.77500000000000002</v>
      </c>
      <c r="N34" s="3">
        <f t="shared" si="0"/>
        <v>116188.50375</v>
      </c>
      <c r="O34" s="3">
        <f t="shared" si="1"/>
        <v>33732.146249999991</v>
      </c>
      <c r="P34">
        <f t="shared" si="5"/>
        <v>2040</v>
      </c>
      <c r="Q34">
        <f t="shared" si="6"/>
        <v>2120</v>
      </c>
    </row>
    <row r="35" spans="1:17" x14ac:dyDescent="0.25">
      <c r="A35" s="15" t="s">
        <v>196</v>
      </c>
      <c r="B35" s="5" t="s">
        <v>2674</v>
      </c>
      <c r="C35" s="5">
        <v>200</v>
      </c>
      <c r="D35" s="21">
        <v>66</v>
      </c>
      <c r="E35" s="24">
        <f>VLOOKUP(C35,'Taux unitaires'!H:I,2,FALSE)</f>
        <v>1441.5</v>
      </c>
      <c r="F35" s="25">
        <f t="shared" si="7"/>
        <v>95139</v>
      </c>
      <c r="G35" s="26">
        <f>VLOOKUP(B35,'Durée de vie utile'!$C$20:$E$25,3,FALSE)</f>
        <v>100</v>
      </c>
      <c r="H35" s="26">
        <f>VLOOKUP('Conduite principale'!B35,'Durée de vie utile'!$C$20:$E$25,2,FALSE)</f>
        <v>80</v>
      </c>
      <c r="I35" s="25">
        <f t="shared" si="2"/>
        <v>1189.2375</v>
      </c>
      <c r="J35" s="25">
        <f>(F35/(1+'Autres hypothèses'!$D$5))*('Autres hypothèses'!$D$5/(((1+'Autres hypothèses'!$D$5)^'Conduite principale'!H35-1)))</f>
        <v>774.19126819329449</v>
      </c>
      <c r="K35" s="26">
        <v>1960</v>
      </c>
      <c r="L35" s="22">
        <f t="shared" si="3"/>
        <v>62</v>
      </c>
      <c r="M35" s="1">
        <f t="shared" si="4"/>
        <v>0.77500000000000002</v>
      </c>
      <c r="N35" s="3">
        <f t="shared" si="0"/>
        <v>73732.725000000006</v>
      </c>
      <c r="O35" s="3">
        <f t="shared" si="1"/>
        <v>21406.274999999994</v>
      </c>
      <c r="P35">
        <f t="shared" si="5"/>
        <v>2040</v>
      </c>
      <c r="Q35">
        <f t="shared" si="6"/>
        <v>2120</v>
      </c>
    </row>
    <row r="36" spans="1:17" x14ac:dyDescent="0.25">
      <c r="A36" s="15" t="s">
        <v>197</v>
      </c>
      <c r="B36" s="5" t="s">
        <v>2675</v>
      </c>
      <c r="C36" s="5">
        <v>200</v>
      </c>
      <c r="D36" s="21">
        <v>75.199999999999989</v>
      </c>
      <c r="E36" s="24">
        <f>VLOOKUP(C36,'Taux unitaires'!H:I,2,FALSE)</f>
        <v>1441.5</v>
      </c>
      <c r="F36" s="25">
        <f t="shared" si="7"/>
        <v>108400.79999999999</v>
      </c>
      <c r="G36" s="26">
        <f>VLOOKUP(B36,'Durée de vie utile'!$C$20:$E$25,3,FALSE)</f>
        <v>100</v>
      </c>
      <c r="H36" s="26">
        <f>VLOOKUP('Conduite principale'!B36,'Durée de vie utile'!$C$20:$E$25,2,FALSE)</f>
        <v>80</v>
      </c>
      <c r="I36" s="25">
        <f t="shared" si="2"/>
        <v>1355.0099999999998</v>
      </c>
      <c r="J36" s="25">
        <f>(F36/(1+'Autres hypothèses'!$D$5))*('Autres hypothèses'!$D$5/(((1+'Autres hypothèses'!$D$5)^'Conduite principale'!H36-1)))</f>
        <v>882.10883891114759</v>
      </c>
      <c r="K36" s="26">
        <v>1960</v>
      </c>
      <c r="L36" s="22">
        <f t="shared" si="3"/>
        <v>62</v>
      </c>
      <c r="M36" s="1">
        <f t="shared" si="4"/>
        <v>0.77500000000000002</v>
      </c>
      <c r="N36" s="3">
        <f t="shared" si="0"/>
        <v>84010.62</v>
      </c>
      <c r="O36" s="3">
        <f t="shared" si="1"/>
        <v>24390.179999999993</v>
      </c>
      <c r="P36">
        <f t="shared" si="5"/>
        <v>2040</v>
      </c>
      <c r="Q36">
        <f t="shared" si="6"/>
        <v>2120</v>
      </c>
    </row>
    <row r="37" spans="1:17" x14ac:dyDescent="0.25">
      <c r="A37" s="15" t="s">
        <v>198</v>
      </c>
      <c r="B37" s="5" t="s">
        <v>2676</v>
      </c>
      <c r="C37" s="5">
        <v>200</v>
      </c>
      <c r="D37" s="21">
        <v>68.099999999999994</v>
      </c>
      <c r="E37" s="24">
        <f>VLOOKUP(C37,'Taux unitaires'!H:I,2,FALSE)</f>
        <v>1441.5</v>
      </c>
      <c r="F37" s="25">
        <f t="shared" si="7"/>
        <v>98166.15</v>
      </c>
      <c r="G37" s="26">
        <f>VLOOKUP(B37,'Durée de vie utile'!$C$20:$E$25,3,FALSE)</f>
        <v>100</v>
      </c>
      <c r="H37" s="26">
        <f>VLOOKUP('Conduite principale'!B37,'Durée de vie utile'!$C$20:$E$25,2,FALSE)</f>
        <v>80</v>
      </c>
      <c r="I37" s="25">
        <f t="shared" si="2"/>
        <v>1227.076875</v>
      </c>
      <c r="J37" s="25">
        <f>(F37/(1+'Autres hypothèses'!$D$5))*('Autres hypothèses'!$D$5/(((1+'Autres hypothèses'!$D$5)^'Conduite principale'!H37-1)))</f>
        <v>798.8246267267175</v>
      </c>
      <c r="K37" s="26">
        <v>1961</v>
      </c>
      <c r="L37" s="22">
        <f t="shared" si="3"/>
        <v>61</v>
      </c>
      <c r="M37" s="1">
        <f t="shared" si="4"/>
        <v>0.76249999999999996</v>
      </c>
      <c r="N37" s="3">
        <f t="shared" si="0"/>
        <v>74851.689374999987</v>
      </c>
      <c r="O37" s="3">
        <f t="shared" si="1"/>
        <v>23314.460625000007</v>
      </c>
      <c r="P37">
        <f t="shared" si="5"/>
        <v>2041</v>
      </c>
      <c r="Q37">
        <f t="shared" si="6"/>
        <v>2121</v>
      </c>
    </row>
    <row r="38" spans="1:17" x14ac:dyDescent="0.25">
      <c r="A38" s="15" t="s">
        <v>199</v>
      </c>
      <c r="B38" s="5" t="s">
        <v>2677</v>
      </c>
      <c r="C38" s="5">
        <v>375</v>
      </c>
      <c r="D38" s="21">
        <v>30.3</v>
      </c>
      <c r="E38" s="24">
        <f>VLOOKUP(C38,'Taux unitaires'!H:I,2,FALSE)</f>
        <v>1534.5</v>
      </c>
      <c r="F38" s="25">
        <f t="shared" si="7"/>
        <v>46495.35</v>
      </c>
      <c r="G38" s="26">
        <f>VLOOKUP(B38,'Durée de vie utile'!$C$20:$E$25,3,FALSE)</f>
        <v>100</v>
      </c>
      <c r="H38" s="26">
        <f>VLOOKUP('Conduite principale'!B38,'Durée de vie utile'!$C$20:$E$25,2,FALSE)</f>
        <v>80</v>
      </c>
      <c r="I38" s="25">
        <f t="shared" si="2"/>
        <v>581.19187499999998</v>
      </c>
      <c r="J38" s="25">
        <f>(F38/(1+'Autres hypothèses'!$D$5))*('Autres hypothèses'!$D$5/(((1+'Autres hypothèses'!$D$5)^'Conduite principale'!H38-1)))</f>
        <v>378.35476493962619</v>
      </c>
      <c r="K38" s="26">
        <v>1965</v>
      </c>
      <c r="L38" s="22">
        <f t="shared" si="3"/>
        <v>57</v>
      </c>
      <c r="M38" s="1">
        <f t="shared" si="4"/>
        <v>0.71250000000000002</v>
      </c>
      <c r="N38" s="3">
        <f t="shared" si="0"/>
        <v>33127.936874999999</v>
      </c>
      <c r="O38" s="3">
        <f t="shared" si="1"/>
        <v>13367.413124999999</v>
      </c>
      <c r="P38">
        <f t="shared" si="5"/>
        <v>2045</v>
      </c>
      <c r="Q38">
        <f t="shared" si="6"/>
        <v>2125</v>
      </c>
    </row>
    <row r="39" spans="1:17" x14ac:dyDescent="0.25">
      <c r="A39" s="15" t="s">
        <v>200</v>
      </c>
      <c r="B39" s="5" t="s">
        <v>2678</v>
      </c>
      <c r="C39" s="5">
        <v>200</v>
      </c>
      <c r="D39" s="21">
        <v>93.399999999999991</v>
      </c>
      <c r="E39" s="24">
        <f>VLOOKUP(C39,'Taux unitaires'!H:I,2,FALSE)</f>
        <v>1441.5</v>
      </c>
      <c r="F39" s="25">
        <f t="shared" si="7"/>
        <v>134636.09999999998</v>
      </c>
      <c r="G39" s="26">
        <f>VLOOKUP(B39,'Durée de vie utile'!$C$20:$E$25,3,FALSE)</f>
        <v>100</v>
      </c>
      <c r="H39" s="26">
        <f>VLOOKUP('Conduite principale'!B39,'Durée de vie utile'!$C$20:$E$25,2,FALSE)</f>
        <v>80</v>
      </c>
      <c r="I39" s="25">
        <f t="shared" si="2"/>
        <v>1682.9512499999996</v>
      </c>
      <c r="J39" s="25">
        <f>(F39/(1+'Autres hypothèses'!$D$5))*('Autres hypothèses'!$D$5/(((1+'Autres hypothèses'!$D$5)^'Conduite principale'!H39-1)))</f>
        <v>1095.5979462008136</v>
      </c>
      <c r="K39" s="26">
        <v>1961</v>
      </c>
      <c r="L39" s="22">
        <f t="shared" si="3"/>
        <v>61</v>
      </c>
      <c r="M39" s="1">
        <f t="shared" si="4"/>
        <v>0.76249999999999996</v>
      </c>
      <c r="N39" s="3">
        <f t="shared" si="0"/>
        <v>102660.02624999998</v>
      </c>
      <c r="O39" s="3">
        <f t="shared" si="1"/>
        <v>31976.073749999996</v>
      </c>
      <c r="P39">
        <f t="shared" si="5"/>
        <v>2041</v>
      </c>
      <c r="Q39">
        <f t="shared" si="6"/>
        <v>2121</v>
      </c>
    </row>
    <row r="40" spans="1:17" x14ac:dyDescent="0.25">
      <c r="A40" s="15" t="s">
        <v>201</v>
      </c>
      <c r="B40" s="5" t="s">
        <v>2679</v>
      </c>
      <c r="C40" s="5">
        <v>200</v>
      </c>
      <c r="D40" s="21">
        <v>37.6</v>
      </c>
      <c r="E40" s="24">
        <f>VLOOKUP(C40,'Taux unitaires'!H:I,2,FALSE)</f>
        <v>1441.5</v>
      </c>
      <c r="F40" s="25">
        <f t="shared" si="7"/>
        <v>54200.4</v>
      </c>
      <c r="G40" s="26">
        <f>VLOOKUP(B40,'Durée de vie utile'!$C$20:$E$25,3,FALSE)</f>
        <v>100</v>
      </c>
      <c r="H40" s="26">
        <f>VLOOKUP('Conduite principale'!B40,'Durée de vie utile'!$C$20:$E$25,2,FALSE)</f>
        <v>80</v>
      </c>
      <c r="I40" s="25">
        <f t="shared" si="2"/>
        <v>677.505</v>
      </c>
      <c r="J40" s="25">
        <f>(F40/(1+'Autres hypothèses'!$D$5))*('Autres hypothèses'!$D$5/(((1+'Autres hypothèses'!$D$5)^'Conduite principale'!H40-1)))</f>
        <v>441.05441945557385</v>
      </c>
      <c r="K40" s="26">
        <v>1961</v>
      </c>
      <c r="L40" s="22">
        <f t="shared" si="3"/>
        <v>61</v>
      </c>
      <c r="M40" s="1">
        <f t="shared" si="4"/>
        <v>0.76249999999999996</v>
      </c>
      <c r="N40" s="3">
        <f t="shared" si="0"/>
        <v>41327.805</v>
      </c>
      <c r="O40" s="3">
        <f t="shared" si="1"/>
        <v>12872.595000000001</v>
      </c>
      <c r="P40">
        <f t="shared" si="5"/>
        <v>2041</v>
      </c>
      <c r="Q40">
        <f t="shared" si="6"/>
        <v>2121</v>
      </c>
    </row>
    <row r="41" spans="1:17" x14ac:dyDescent="0.25">
      <c r="A41" s="15" t="s">
        <v>202</v>
      </c>
      <c r="B41" s="5" t="s">
        <v>2680</v>
      </c>
      <c r="C41" s="5">
        <v>375</v>
      </c>
      <c r="D41" s="21">
        <v>11.799999999999999</v>
      </c>
      <c r="E41" s="24">
        <f>VLOOKUP(C41,'Taux unitaires'!H:I,2,FALSE)</f>
        <v>1534.5</v>
      </c>
      <c r="F41" s="25">
        <f t="shared" si="7"/>
        <v>18107.099999999999</v>
      </c>
      <c r="G41" s="26">
        <f>VLOOKUP(B41,'Durée de vie utile'!$C$20:$E$25,3,FALSE)</f>
        <v>100</v>
      </c>
      <c r="H41" s="26">
        <f>VLOOKUP('Conduite principale'!B41,'Durée de vie utile'!$C$20:$E$25,2,FALSE)</f>
        <v>80</v>
      </c>
      <c r="I41" s="25">
        <f t="shared" si="2"/>
        <v>226.33874999999998</v>
      </c>
      <c r="J41" s="25">
        <f>(F41/(1+'Autres hypothèses'!$D$5))*('Autres hypothèses'!$D$5/(((1+'Autres hypothèses'!$D$5)^'Conduite principale'!H41-1)))</f>
        <v>147.34608007549798</v>
      </c>
      <c r="K41" s="26">
        <v>1962</v>
      </c>
      <c r="L41" s="22">
        <f t="shared" si="3"/>
        <v>60</v>
      </c>
      <c r="M41" s="1">
        <f t="shared" si="4"/>
        <v>0.75</v>
      </c>
      <c r="N41" s="3">
        <f t="shared" si="0"/>
        <v>13580.324999999999</v>
      </c>
      <c r="O41" s="3">
        <f t="shared" si="1"/>
        <v>4526.7749999999996</v>
      </c>
      <c r="P41">
        <f t="shared" si="5"/>
        <v>2042</v>
      </c>
      <c r="Q41">
        <f t="shared" si="6"/>
        <v>2122</v>
      </c>
    </row>
    <row r="42" spans="1:17" x14ac:dyDescent="0.25">
      <c r="A42" s="15" t="s">
        <v>203</v>
      </c>
      <c r="B42" s="5" t="s">
        <v>2681</v>
      </c>
      <c r="C42" s="5">
        <v>450</v>
      </c>
      <c r="D42" s="21">
        <v>81.199999999999989</v>
      </c>
      <c r="E42" s="24">
        <f>VLOOKUP(C42,'Taux unitaires'!H:I,2,FALSE)</f>
        <v>1581</v>
      </c>
      <c r="F42" s="25">
        <f t="shared" si="7"/>
        <v>128377.19999999998</v>
      </c>
      <c r="G42" s="26">
        <f>VLOOKUP(B42,'Durée de vie utile'!$C$20:$E$25,3,FALSE)</f>
        <v>100</v>
      </c>
      <c r="H42" s="26">
        <f>VLOOKUP('Conduite principale'!B42,'Durée de vie utile'!$C$20:$E$25,2,FALSE)</f>
        <v>80</v>
      </c>
      <c r="I42" s="25">
        <f t="shared" si="2"/>
        <v>1604.7149999999997</v>
      </c>
      <c r="J42" s="25">
        <f>(F42/(1+'Autres hypothèses'!$D$5))*('Autres hypothèses'!$D$5/(((1+'Autres hypothèses'!$D$5)^'Conduite principale'!H42-1)))</f>
        <v>1044.6663016754874</v>
      </c>
      <c r="K42" s="26">
        <v>1962</v>
      </c>
      <c r="L42" s="22">
        <f t="shared" si="3"/>
        <v>60</v>
      </c>
      <c r="M42" s="1">
        <f t="shared" si="4"/>
        <v>0.75</v>
      </c>
      <c r="N42" s="3">
        <f t="shared" si="0"/>
        <v>96282.9</v>
      </c>
      <c r="O42" s="3">
        <f t="shared" si="1"/>
        <v>32094.299999999988</v>
      </c>
      <c r="P42">
        <f t="shared" si="5"/>
        <v>2042</v>
      </c>
      <c r="Q42">
        <f t="shared" si="6"/>
        <v>2122</v>
      </c>
    </row>
    <row r="43" spans="1:17" x14ac:dyDescent="0.25">
      <c r="A43" s="15" t="s">
        <v>204</v>
      </c>
      <c r="B43" s="5" t="s">
        <v>2682</v>
      </c>
      <c r="C43" s="5">
        <v>200</v>
      </c>
      <c r="D43" s="21">
        <v>89.399999999999991</v>
      </c>
      <c r="E43" s="24">
        <f>VLOOKUP(C43,'Taux unitaires'!H:I,2,FALSE)</f>
        <v>1441.5</v>
      </c>
      <c r="F43" s="25">
        <f t="shared" si="7"/>
        <v>128870.09999999999</v>
      </c>
      <c r="G43" s="26">
        <f>VLOOKUP(B43,'Durée de vie utile'!$C$20:$E$25,3,FALSE)</f>
        <v>100</v>
      </c>
      <c r="H43" s="26">
        <f>VLOOKUP('Conduite principale'!B43,'Durée de vie utile'!$C$20:$E$25,2,FALSE)</f>
        <v>80</v>
      </c>
      <c r="I43" s="25">
        <f t="shared" si="2"/>
        <v>1610.8762499999998</v>
      </c>
      <c r="J43" s="25">
        <f>(F43/(1+'Autres hypothèses'!$D$5))*('Autres hypothèses'!$D$5/(((1+'Autres hypothèses'!$D$5)^'Conduite principale'!H43-1)))</f>
        <v>1048.677263280008</v>
      </c>
      <c r="K43" s="26">
        <v>1959</v>
      </c>
      <c r="L43" s="22">
        <f t="shared" si="3"/>
        <v>63</v>
      </c>
      <c r="M43" s="1">
        <f t="shared" si="4"/>
        <v>0.78749999999999998</v>
      </c>
      <c r="N43" s="3">
        <f t="shared" si="0"/>
        <v>101485.20374999999</v>
      </c>
      <c r="O43" s="3">
        <f t="shared" si="1"/>
        <v>27384.896250000005</v>
      </c>
      <c r="P43">
        <f t="shared" si="5"/>
        <v>2039</v>
      </c>
      <c r="Q43">
        <f t="shared" si="6"/>
        <v>2119</v>
      </c>
    </row>
    <row r="44" spans="1:17" x14ac:dyDescent="0.25">
      <c r="A44" s="15" t="s">
        <v>205</v>
      </c>
      <c r="B44" s="5" t="s">
        <v>2683</v>
      </c>
      <c r="C44" s="5">
        <v>200</v>
      </c>
      <c r="D44" s="21">
        <v>12.299999999999999</v>
      </c>
      <c r="E44" s="24">
        <f>VLOOKUP(C44,'Taux unitaires'!H:I,2,FALSE)</f>
        <v>1441.5</v>
      </c>
      <c r="F44" s="25">
        <f t="shared" si="7"/>
        <v>17730.449999999997</v>
      </c>
      <c r="G44" s="26">
        <f>VLOOKUP(B44,'Durée de vie utile'!$C$20:$E$25,3,FALSE)</f>
        <v>100</v>
      </c>
      <c r="H44" s="26">
        <f>VLOOKUP('Conduite principale'!B44,'Durée de vie utile'!$C$20:$E$25,2,FALSE)</f>
        <v>80</v>
      </c>
      <c r="I44" s="25">
        <f t="shared" si="2"/>
        <v>221.63062499999995</v>
      </c>
      <c r="J44" s="25">
        <f>(F44/(1+'Autres hypothèses'!$D$5))*('Autres hypothèses'!$D$5/(((1+'Autres hypothèses'!$D$5)^'Conduite principale'!H44-1)))</f>
        <v>144.28109998147758</v>
      </c>
      <c r="K44" s="26">
        <v>1959</v>
      </c>
      <c r="L44" s="22">
        <f t="shared" si="3"/>
        <v>63</v>
      </c>
      <c r="M44" s="1">
        <f t="shared" si="4"/>
        <v>0.78749999999999998</v>
      </c>
      <c r="N44" s="3">
        <f t="shared" si="0"/>
        <v>13962.729374999997</v>
      </c>
      <c r="O44" s="3">
        <f t="shared" si="1"/>
        <v>3767.7206249999999</v>
      </c>
      <c r="P44">
        <f t="shared" si="5"/>
        <v>2039</v>
      </c>
      <c r="Q44">
        <f t="shared" si="6"/>
        <v>2119</v>
      </c>
    </row>
    <row r="45" spans="1:17" x14ac:dyDescent="0.25">
      <c r="A45" s="15" t="s">
        <v>206</v>
      </c>
      <c r="B45" s="5" t="s">
        <v>2684</v>
      </c>
      <c r="C45" s="5">
        <v>450</v>
      </c>
      <c r="D45" s="21">
        <v>45.2</v>
      </c>
      <c r="E45" s="24">
        <f>VLOOKUP(C45,'Taux unitaires'!H:I,2,FALSE)</f>
        <v>1581</v>
      </c>
      <c r="F45" s="25">
        <f t="shared" si="7"/>
        <v>71461.200000000012</v>
      </c>
      <c r="G45" s="26">
        <f>VLOOKUP(B45,'Durée de vie utile'!$C$20:$E$25,3,FALSE)</f>
        <v>100</v>
      </c>
      <c r="H45" s="26">
        <f>VLOOKUP('Conduite principale'!B45,'Durée de vie utile'!$C$20:$E$25,2,FALSE)</f>
        <v>80</v>
      </c>
      <c r="I45" s="25">
        <f t="shared" si="2"/>
        <v>893.2650000000001</v>
      </c>
      <c r="J45" s="25">
        <f>(F45/(1+'Autres hypothèses'!$D$5))*('Autres hypothèses'!$D$5/(((1+'Autres hypothèses'!$D$5)^'Conduite principale'!H45-1)))</f>
        <v>581.51375413463097</v>
      </c>
      <c r="K45" s="26">
        <v>1963</v>
      </c>
      <c r="L45" s="22">
        <f t="shared" si="3"/>
        <v>59</v>
      </c>
      <c r="M45" s="1">
        <f t="shared" si="4"/>
        <v>0.73750000000000004</v>
      </c>
      <c r="N45" s="3">
        <f t="shared" si="0"/>
        <v>52702.635000000009</v>
      </c>
      <c r="O45" s="3">
        <f t="shared" si="1"/>
        <v>18758.565000000002</v>
      </c>
      <c r="P45">
        <f t="shared" si="5"/>
        <v>2043</v>
      </c>
      <c r="Q45">
        <f t="shared" si="6"/>
        <v>2123</v>
      </c>
    </row>
    <row r="46" spans="1:17" x14ac:dyDescent="0.25">
      <c r="A46" s="15" t="s">
        <v>207</v>
      </c>
      <c r="B46" s="5" t="s">
        <v>2685</v>
      </c>
      <c r="C46" s="5">
        <v>450</v>
      </c>
      <c r="D46" s="21">
        <v>79.699999999999989</v>
      </c>
      <c r="E46" s="24">
        <f>VLOOKUP(C46,'Taux unitaires'!H:I,2,FALSE)</f>
        <v>1581</v>
      </c>
      <c r="F46" s="25">
        <f t="shared" si="7"/>
        <v>126005.69999999998</v>
      </c>
      <c r="G46" s="26">
        <f>VLOOKUP(B46,'Durée de vie utile'!$C$20:$E$25,3,FALSE)</f>
        <v>100</v>
      </c>
      <c r="H46" s="26">
        <f>VLOOKUP('Conduite principale'!B46,'Durée de vie utile'!$C$20:$E$25,2,FALSE)</f>
        <v>80</v>
      </c>
      <c r="I46" s="25">
        <f t="shared" si="2"/>
        <v>1575.0712499999997</v>
      </c>
      <c r="J46" s="25">
        <f>(F46/(1+'Autres hypothèses'!$D$5))*('Autres hypothèses'!$D$5/(((1+'Autres hypothèses'!$D$5)^'Conduite principale'!H46-1)))</f>
        <v>1025.368278861285</v>
      </c>
      <c r="K46" s="26">
        <v>1963</v>
      </c>
      <c r="L46" s="22">
        <f t="shared" si="3"/>
        <v>59</v>
      </c>
      <c r="M46" s="1">
        <f t="shared" si="4"/>
        <v>0.73750000000000004</v>
      </c>
      <c r="N46" s="3">
        <f t="shared" si="0"/>
        <v>92929.203749999986</v>
      </c>
      <c r="O46" s="3">
        <f t="shared" si="1"/>
        <v>33076.496249999997</v>
      </c>
      <c r="P46">
        <f t="shared" si="5"/>
        <v>2043</v>
      </c>
      <c r="Q46">
        <f t="shared" si="6"/>
        <v>2123</v>
      </c>
    </row>
    <row r="47" spans="1:17" x14ac:dyDescent="0.25">
      <c r="A47" s="15" t="s">
        <v>208</v>
      </c>
      <c r="B47" s="5" t="s">
        <v>2686</v>
      </c>
      <c r="C47" s="5">
        <v>375</v>
      </c>
      <c r="D47" s="21">
        <v>16.900000000000002</v>
      </c>
      <c r="E47" s="24">
        <f>VLOOKUP(C47,'Taux unitaires'!H:I,2,FALSE)</f>
        <v>1534.5</v>
      </c>
      <c r="F47" s="25">
        <f t="shared" si="7"/>
        <v>25933.050000000003</v>
      </c>
      <c r="G47" s="26">
        <f>VLOOKUP(B47,'Durée de vie utile'!$C$20:$E$25,3,FALSE)</f>
        <v>100</v>
      </c>
      <c r="H47" s="26">
        <f>VLOOKUP('Conduite principale'!B47,'Durée de vie utile'!$C$20:$E$25,2,FALSE)</f>
        <v>80</v>
      </c>
      <c r="I47" s="25">
        <f t="shared" si="2"/>
        <v>324.16312500000004</v>
      </c>
      <c r="J47" s="25">
        <f>(F47/(1+'Autres hypothèses'!$D$5))*('Autres hypothèses'!$D$5/(((1+'Autres hypothèses'!$D$5)^'Conduite principale'!H47-1)))</f>
        <v>211.02955536236578</v>
      </c>
      <c r="K47" s="26">
        <v>1963</v>
      </c>
      <c r="L47" s="22">
        <f t="shared" si="3"/>
        <v>59</v>
      </c>
      <c r="M47" s="1">
        <f t="shared" si="4"/>
        <v>0.73750000000000004</v>
      </c>
      <c r="N47" s="3">
        <f t="shared" si="0"/>
        <v>19125.624375000003</v>
      </c>
      <c r="O47" s="3">
        <f t="shared" si="1"/>
        <v>6807.4256249999999</v>
      </c>
      <c r="P47">
        <f t="shared" si="5"/>
        <v>2043</v>
      </c>
      <c r="Q47">
        <f t="shared" si="6"/>
        <v>2123</v>
      </c>
    </row>
    <row r="48" spans="1:17" x14ac:dyDescent="0.25">
      <c r="A48" s="15" t="s">
        <v>209</v>
      </c>
      <c r="B48" s="5" t="s">
        <v>2687</v>
      </c>
      <c r="C48" s="5">
        <v>375</v>
      </c>
      <c r="D48" s="21">
        <v>56.5</v>
      </c>
      <c r="E48" s="24">
        <f>VLOOKUP(C48,'Taux unitaires'!H:I,2,FALSE)</f>
        <v>1534.5</v>
      </c>
      <c r="F48" s="25">
        <f t="shared" si="7"/>
        <v>86699.25</v>
      </c>
      <c r="G48" s="26">
        <f>VLOOKUP(B48,'Durée de vie utile'!$C$20:$E$25,3,FALSE)</f>
        <v>100</v>
      </c>
      <c r="H48" s="26">
        <f>VLOOKUP('Conduite principale'!B48,'Durée de vie utile'!$C$20:$E$25,2,FALSE)</f>
        <v>80</v>
      </c>
      <c r="I48" s="25">
        <f t="shared" si="2"/>
        <v>1083.7406249999999</v>
      </c>
      <c r="J48" s="25">
        <f>(F48/(1+'Autres hypothèses'!$D$5))*('Autres hypothèses'!$D$5/(((1+'Autres hypothèses'!$D$5)^'Conduite principale'!H48-1)))</f>
        <v>705.51301053098621</v>
      </c>
      <c r="K48" s="26">
        <v>1964</v>
      </c>
      <c r="L48" s="22">
        <f t="shared" si="3"/>
        <v>58</v>
      </c>
      <c r="M48" s="1">
        <f t="shared" si="4"/>
        <v>0.72499999999999998</v>
      </c>
      <c r="N48" s="3">
        <f t="shared" si="0"/>
        <v>62856.956249999996</v>
      </c>
      <c r="O48" s="3">
        <f t="shared" si="1"/>
        <v>23842.293750000004</v>
      </c>
      <c r="P48">
        <f t="shared" si="5"/>
        <v>2044</v>
      </c>
      <c r="Q48">
        <f t="shared" si="6"/>
        <v>2124</v>
      </c>
    </row>
    <row r="49" spans="1:17" x14ac:dyDescent="0.25">
      <c r="A49" s="15" t="s">
        <v>210</v>
      </c>
      <c r="B49" s="5" t="s">
        <v>2688</v>
      </c>
      <c r="C49" s="5">
        <v>200</v>
      </c>
      <c r="D49" s="21">
        <v>13</v>
      </c>
      <c r="E49" s="24">
        <f>VLOOKUP(C49,'Taux unitaires'!H:I,2,FALSE)</f>
        <v>1441.5</v>
      </c>
      <c r="F49" s="25">
        <f t="shared" si="7"/>
        <v>18739.5</v>
      </c>
      <c r="G49" s="26">
        <f>VLOOKUP(B49,'Durée de vie utile'!$C$20:$E$25,3,FALSE)</f>
        <v>100</v>
      </c>
      <c r="H49" s="26">
        <f>VLOOKUP('Conduite principale'!B49,'Durée de vie utile'!$C$20:$E$25,2,FALSE)</f>
        <v>80</v>
      </c>
      <c r="I49" s="25">
        <f t="shared" si="2"/>
        <v>234.24375000000001</v>
      </c>
      <c r="J49" s="25">
        <f>(F49/(1+'Autres hypothèses'!$D$5))*('Autres hypothèses'!$D$5/(((1+'Autres hypothèses'!$D$5)^'Conduite principale'!H49-1)))</f>
        <v>152.49221949261863</v>
      </c>
      <c r="K49" s="26">
        <v>1964</v>
      </c>
      <c r="L49" s="22">
        <f t="shared" si="3"/>
        <v>58</v>
      </c>
      <c r="M49" s="1">
        <f t="shared" si="4"/>
        <v>0.72499999999999998</v>
      </c>
      <c r="N49" s="3">
        <f t="shared" si="0"/>
        <v>13586.137499999999</v>
      </c>
      <c r="O49" s="3">
        <f t="shared" si="1"/>
        <v>5153.3625000000011</v>
      </c>
      <c r="P49">
        <f t="shared" si="5"/>
        <v>2044</v>
      </c>
      <c r="Q49">
        <f t="shared" si="6"/>
        <v>2124</v>
      </c>
    </row>
    <row r="50" spans="1:17" x14ac:dyDescent="0.25">
      <c r="A50" s="15" t="s">
        <v>211</v>
      </c>
      <c r="B50" s="5" t="s">
        <v>2689</v>
      </c>
      <c r="C50" s="5">
        <v>450</v>
      </c>
      <c r="D50" s="21">
        <v>83.699999999999989</v>
      </c>
      <c r="E50" s="24">
        <f>VLOOKUP(C50,'Taux unitaires'!H:I,2,FALSE)</f>
        <v>1581</v>
      </c>
      <c r="F50" s="25">
        <f t="shared" si="7"/>
        <v>132329.69999999998</v>
      </c>
      <c r="G50" s="26">
        <f>VLOOKUP(B50,'Durée de vie utile'!$C$20:$E$25,3,FALSE)</f>
        <v>100</v>
      </c>
      <c r="H50" s="26">
        <f>VLOOKUP('Conduite principale'!B50,'Durée de vie utile'!$C$20:$E$25,2,FALSE)</f>
        <v>80</v>
      </c>
      <c r="I50" s="25">
        <f t="shared" si="2"/>
        <v>1654.1212499999997</v>
      </c>
      <c r="J50" s="25">
        <f>(F50/(1+'Autres hypothèses'!$D$5))*('Autres hypothèses'!$D$5/(((1+'Autres hypothèses'!$D$5)^'Conduite principale'!H50-1)))</f>
        <v>1076.8296730324912</v>
      </c>
      <c r="K50" s="26">
        <v>1965</v>
      </c>
      <c r="L50" s="22">
        <f t="shared" si="3"/>
        <v>57</v>
      </c>
      <c r="M50" s="1">
        <f t="shared" si="4"/>
        <v>0.71250000000000002</v>
      </c>
      <c r="N50" s="3">
        <f t="shared" si="0"/>
        <v>94284.91124999999</v>
      </c>
      <c r="O50" s="3">
        <f t="shared" si="1"/>
        <v>38044.788749999992</v>
      </c>
      <c r="P50">
        <f t="shared" si="5"/>
        <v>2045</v>
      </c>
      <c r="Q50">
        <f t="shared" si="6"/>
        <v>2125</v>
      </c>
    </row>
    <row r="51" spans="1:17" x14ac:dyDescent="0.25">
      <c r="A51" s="15" t="s">
        <v>212</v>
      </c>
      <c r="B51" s="5" t="s">
        <v>2690</v>
      </c>
      <c r="C51" s="5">
        <v>450</v>
      </c>
      <c r="D51" s="21">
        <v>25.700000000000003</v>
      </c>
      <c r="E51" s="24">
        <f>VLOOKUP(C51,'Taux unitaires'!H:I,2,FALSE)</f>
        <v>1581</v>
      </c>
      <c r="F51" s="25">
        <f t="shared" si="7"/>
        <v>40631.700000000004</v>
      </c>
      <c r="G51" s="26">
        <f>VLOOKUP(B51,'Durée de vie utile'!$C$20:$E$25,3,FALSE)</f>
        <v>125</v>
      </c>
      <c r="H51" s="26">
        <f>VLOOKUP('Conduite principale'!B51,'Durée de vie utile'!$C$20:$E$25,2,FALSE)</f>
        <v>90</v>
      </c>
      <c r="I51" s="25">
        <f t="shared" si="2"/>
        <v>451.46333333333337</v>
      </c>
      <c r="J51" s="25">
        <f>(F51/(1+'Autres hypothèses'!$D$5))*('Autres hypothèses'!$D$5/(((1+'Autres hypothèses'!$D$5)^'Conduite principale'!H51-1)))</f>
        <v>277.70605098601624</v>
      </c>
      <c r="K51" s="26">
        <v>1965</v>
      </c>
      <c r="L51" s="22">
        <f t="shared" si="3"/>
        <v>57</v>
      </c>
      <c r="M51" s="1">
        <f t="shared" si="4"/>
        <v>0.6333333333333333</v>
      </c>
      <c r="N51" s="3">
        <f t="shared" si="0"/>
        <v>25733.41</v>
      </c>
      <c r="O51" s="3">
        <f t="shared" si="1"/>
        <v>14898.290000000005</v>
      </c>
      <c r="P51">
        <f t="shared" si="5"/>
        <v>2055</v>
      </c>
      <c r="Q51">
        <f t="shared" si="6"/>
        <v>2145</v>
      </c>
    </row>
    <row r="52" spans="1:17" x14ac:dyDescent="0.25">
      <c r="A52" s="15" t="s">
        <v>213</v>
      </c>
      <c r="B52" s="5" t="s">
        <v>2691</v>
      </c>
      <c r="C52" s="5">
        <v>200</v>
      </c>
      <c r="D52" s="21">
        <v>62.1</v>
      </c>
      <c r="E52" s="24">
        <f>VLOOKUP(C52,'Taux unitaires'!H:I,2,FALSE)</f>
        <v>1441.5</v>
      </c>
      <c r="F52" s="25">
        <f t="shared" si="7"/>
        <v>89517.150000000009</v>
      </c>
      <c r="G52" s="26">
        <f>VLOOKUP(B52,'Durée de vie utile'!$C$20:$E$25,3,FALSE)</f>
        <v>100</v>
      </c>
      <c r="H52" s="26">
        <f>VLOOKUP('Conduite principale'!B52,'Durée de vie utile'!$C$20:$E$25,2,FALSE)</f>
        <v>80</v>
      </c>
      <c r="I52" s="25">
        <f t="shared" si="2"/>
        <v>1118.964375</v>
      </c>
      <c r="J52" s="25">
        <f>(F52/(1+'Autres hypothèses'!$D$5))*('Autres hypothèses'!$D$5/(((1+'Autres hypothèses'!$D$5)^'Conduite principale'!H52-1)))</f>
        <v>728.44360234550902</v>
      </c>
      <c r="K52" s="26">
        <v>1965</v>
      </c>
      <c r="L52" s="22">
        <f t="shared" si="3"/>
        <v>57</v>
      </c>
      <c r="M52" s="1">
        <f t="shared" si="4"/>
        <v>0.71250000000000002</v>
      </c>
      <c r="N52" s="3">
        <f t="shared" si="0"/>
        <v>63780.969375000008</v>
      </c>
      <c r="O52" s="3">
        <f t="shared" si="1"/>
        <v>25736.180625000001</v>
      </c>
      <c r="P52">
        <f t="shared" si="5"/>
        <v>2045</v>
      </c>
      <c r="Q52">
        <f t="shared" si="6"/>
        <v>2125</v>
      </c>
    </row>
    <row r="53" spans="1:17" x14ac:dyDescent="0.25">
      <c r="A53" s="15" t="s">
        <v>214</v>
      </c>
      <c r="B53" s="5" t="s">
        <v>2692</v>
      </c>
      <c r="C53" s="5">
        <v>200</v>
      </c>
      <c r="D53" s="21">
        <v>83.6</v>
      </c>
      <c r="E53" s="24">
        <f>VLOOKUP(C53,'Taux unitaires'!H:I,2,FALSE)</f>
        <v>1441.5</v>
      </c>
      <c r="F53" s="25">
        <f t="shared" si="7"/>
        <v>120509.4</v>
      </c>
      <c r="G53" s="26">
        <f>VLOOKUP(B53,'Durée de vie utile'!$C$20:$E$25,3,FALSE)</f>
        <v>100</v>
      </c>
      <c r="H53" s="26">
        <f>VLOOKUP('Conduite principale'!B53,'Durée de vie utile'!$C$20:$E$25,2,FALSE)</f>
        <v>70</v>
      </c>
      <c r="I53" s="25">
        <f t="shared" si="2"/>
        <v>1721.562857142857</v>
      </c>
      <c r="J53" s="25">
        <f>(F53/(1+'Autres hypothèses'!$D$5))*('Autres hypothèses'!$D$5/(((1+'Autres hypothèses'!$D$5)^'Conduite principale'!H53-1)))</f>
        <v>1185.1467918815194</v>
      </c>
      <c r="K53" s="26">
        <v>1965</v>
      </c>
      <c r="L53" s="22">
        <f t="shared" si="3"/>
        <v>57</v>
      </c>
      <c r="M53" s="1">
        <f t="shared" si="4"/>
        <v>0.81428571428571428</v>
      </c>
      <c r="N53" s="3">
        <f t="shared" si="0"/>
        <v>98129.082857142857</v>
      </c>
      <c r="O53" s="3">
        <f t="shared" si="1"/>
        <v>22380.317142857137</v>
      </c>
      <c r="P53">
        <f t="shared" si="5"/>
        <v>2035</v>
      </c>
      <c r="Q53">
        <f t="shared" si="6"/>
        <v>2105</v>
      </c>
    </row>
    <row r="54" spans="1:17" x14ac:dyDescent="0.25">
      <c r="A54" s="15" t="s">
        <v>215</v>
      </c>
      <c r="B54" s="5" t="s">
        <v>2693</v>
      </c>
      <c r="C54" s="5">
        <v>200</v>
      </c>
      <c r="D54" s="21">
        <v>76.399999999999991</v>
      </c>
      <c r="E54" s="24">
        <f>VLOOKUP(C54,'Taux unitaires'!H:I,2,FALSE)</f>
        <v>1441.5</v>
      </c>
      <c r="F54" s="25">
        <f t="shared" si="7"/>
        <v>110130.59999999999</v>
      </c>
      <c r="G54" s="26">
        <f>VLOOKUP(B54,'Durée de vie utile'!$C$20:$E$25,3,FALSE)</f>
        <v>100</v>
      </c>
      <c r="H54" s="26">
        <f>VLOOKUP('Conduite principale'!B54,'Durée de vie utile'!$C$20:$E$25,2,FALSE)</f>
        <v>80</v>
      </c>
      <c r="I54" s="25">
        <f t="shared" si="2"/>
        <v>1376.6324999999999</v>
      </c>
      <c r="J54" s="25">
        <f>(F54/(1+'Autres hypothèses'!$D$5))*('Autres hypothèses'!$D$5/(((1+'Autres hypothèses'!$D$5)^'Conduite principale'!H54-1)))</f>
        <v>896.1850437873893</v>
      </c>
      <c r="K54" s="26">
        <v>1965</v>
      </c>
      <c r="L54" s="22">
        <f t="shared" si="3"/>
        <v>57</v>
      </c>
      <c r="M54" s="1">
        <f t="shared" si="4"/>
        <v>0.71250000000000002</v>
      </c>
      <c r="N54" s="3">
        <f t="shared" si="0"/>
        <v>78468.052499999991</v>
      </c>
      <c r="O54" s="3">
        <f t="shared" si="1"/>
        <v>31662.547500000001</v>
      </c>
      <c r="P54">
        <f t="shared" si="5"/>
        <v>2045</v>
      </c>
      <c r="Q54">
        <f t="shared" si="6"/>
        <v>2125</v>
      </c>
    </row>
    <row r="55" spans="1:17" x14ac:dyDescent="0.25">
      <c r="A55" s="15" t="s">
        <v>216</v>
      </c>
      <c r="B55" s="5" t="s">
        <v>2694</v>
      </c>
      <c r="C55" s="5">
        <v>450</v>
      </c>
      <c r="D55" s="21">
        <v>31.8</v>
      </c>
      <c r="E55" s="24">
        <f>VLOOKUP(C55,'Taux unitaires'!H:I,2,FALSE)</f>
        <v>1581</v>
      </c>
      <c r="F55" s="25">
        <f t="shared" si="7"/>
        <v>50275.8</v>
      </c>
      <c r="G55" s="26">
        <f>VLOOKUP(B55,'Durée de vie utile'!$C$20:$E$25,3,FALSE)</f>
        <v>100</v>
      </c>
      <c r="H55" s="26">
        <f>VLOOKUP('Conduite principale'!B55,'Durée de vie utile'!$C$20:$E$25,2,FALSE)</f>
        <v>70</v>
      </c>
      <c r="I55" s="25">
        <f t="shared" si="2"/>
        <v>718.22571428571428</v>
      </c>
      <c r="J55" s="25">
        <f>(F55/(1+'Autres hypothèses'!$D$5))*('Autres hypothèses'!$D$5/(((1+'Autres hypothèses'!$D$5)^'Conduite principale'!H55-1)))</f>
        <v>494.43614422839136</v>
      </c>
      <c r="K55" s="26">
        <v>1965</v>
      </c>
      <c r="L55" s="22">
        <f t="shared" si="3"/>
        <v>57</v>
      </c>
      <c r="M55" s="1">
        <f t="shared" si="4"/>
        <v>0.81428571428571428</v>
      </c>
      <c r="N55" s="3">
        <f t="shared" si="0"/>
        <v>40938.865714285719</v>
      </c>
      <c r="O55" s="3">
        <f t="shared" si="1"/>
        <v>9336.9342857142838</v>
      </c>
      <c r="P55">
        <f t="shared" si="5"/>
        <v>2035</v>
      </c>
      <c r="Q55">
        <f t="shared" si="6"/>
        <v>2105</v>
      </c>
    </row>
    <row r="56" spans="1:17" x14ac:dyDescent="0.25">
      <c r="A56" s="15" t="s">
        <v>217</v>
      </c>
      <c r="B56" s="5" t="s">
        <v>2695</v>
      </c>
      <c r="C56" s="5">
        <v>200</v>
      </c>
      <c r="D56" s="21">
        <v>46.1</v>
      </c>
      <c r="E56" s="24">
        <f>VLOOKUP(C56,'Taux unitaires'!H:I,2,FALSE)</f>
        <v>1441.5</v>
      </c>
      <c r="F56" s="25">
        <f t="shared" si="7"/>
        <v>66453.150000000009</v>
      </c>
      <c r="G56" s="26">
        <f>VLOOKUP(B56,'Durée de vie utile'!$C$20:$E$25,3,FALSE)</f>
        <v>100</v>
      </c>
      <c r="H56" s="26">
        <f>VLOOKUP('Conduite principale'!B56,'Durée de vie utile'!$C$20:$E$25,2,FALSE)</f>
        <v>80</v>
      </c>
      <c r="I56" s="25">
        <f t="shared" si="2"/>
        <v>830.66437500000006</v>
      </c>
      <c r="J56" s="25">
        <f>(F56/(1+'Autres hypothèses'!$D$5))*('Autres hypothèses'!$D$5/(((1+'Autres hypothèses'!$D$5)^'Conduite principale'!H56-1)))</f>
        <v>540.76087066228604</v>
      </c>
      <c r="K56" s="26">
        <v>1965</v>
      </c>
      <c r="L56" s="22">
        <f t="shared" si="3"/>
        <v>57</v>
      </c>
      <c r="M56" s="1">
        <f t="shared" si="4"/>
        <v>0.71250000000000002</v>
      </c>
      <c r="N56" s="3">
        <f t="shared" si="0"/>
        <v>47347.869375000009</v>
      </c>
      <c r="O56" s="3">
        <f t="shared" si="1"/>
        <v>19105.280624999999</v>
      </c>
      <c r="P56">
        <f t="shared" si="5"/>
        <v>2045</v>
      </c>
      <c r="Q56">
        <f t="shared" si="6"/>
        <v>2125</v>
      </c>
    </row>
    <row r="57" spans="1:17" x14ac:dyDescent="0.25">
      <c r="A57" s="15" t="s">
        <v>218</v>
      </c>
      <c r="B57" s="5" t="s">
        <v>2696</v>
      </c>
      <c r="C57" s="5">
        <v>200</v>
      </c>
      <c r="D57" s="21">
        <v>59</v>
      </c>
      <c r="E57" s="24">
        <f>VLOOKUP(C57,'Taux unitaires'!H:I,2,FALSE)</f>
        <v>1441.5</v>
      </c>
      <c r="F57" s="25">
        <f t="shared" si="7"/>
        <v>85048.5</v>
      </c>
      <c r="G57" s="26">
        <f>VLOOKUP(B57,'Durée de vie utile'!$C$20:$E$25,3,FALSE)</f>
        <v>125</v>
      </c>
      <c r="H57" s="26">
        <f>VLOOKUP('Conduite principale'!B57,'Durée de vie utile'!$C$20:$E$25,2,FALSE)</f>
        <v>80</v>
      </c>
      <c r="I57" s="25">
        <f t="shared" si="2"/>
        <v>1063.10625</v>
      </c>
      <c r="J57" s="25">
        <f>(F57/(1+'Autres hypothèses'!$D$5))*('Autres hypothèses'!$D$5/(((1+'Autres hypothèses'!$D$5)^'Conduite principale'!H57-1)))</f>
        <v>692.08007308188451</v>
      </c>
      <c r="K57" s="26">
        <v>1965</v>
      </c>
      <c r="L57" s="22">
        <f t="shared" si="3"/>
        <v>57</v>
      </c>
      <c r="M57" s="1">
        <f t="shared" si="4"/>
        <v>0.71250000000000002</v>
      </c>
      <c r="N57" s="3">
        <f t="shared" si="0"/>
        <v>60597.056250000001</v>
      </c>
      <c r="O57" s="3">
        <f t="shared" si="1"/>
        <v>24451.443749999999</v>
      </c>
      <c r="P57">
        <f t="shared" si="5"/>
        <v>2045</v>
      </c>
      <c r="Q57">
        <f t="shared" si="6"/>
        <v>2125</v>
      </c>
    </row>
    <row r="58" spans="1:17" x14ac:dyDescent="0.25">
      <c r="A58" s="15" t="s">
        <v>219</v>
      </c>
      <c r="B58" s="5" t="s">
        <v>2697</v>
      </c>
      <c r="C58" s="5">
        <v>200</v>
      </c>
      <c r="D58" s="21">
        <v>9.5</v>
      </c>
      <c r="E58" s="24">
        <f>VLOOKUP(C58,'Taux unitaires'!H:I,2,FALSE)</f>
        <v>1441.5</v>
      </c>
      <c r="F58" s="25">
        <f t="shared" si="7"/>
        <v>13694.25</v>
      </c>
      <c r="G58" s="26">
        <f>VLOOKUP(B58,'Durée de vie utile'!$C$20:$E$25,3,FALSE)</f>
        <v>125</v>
      </c>
      <c r="H58" s="26">
        <f>VLOOKUP('Conduite principale'!B58,'Durée de vie utile'!$C$20:$E$25,2,FALSE)</f>
        <v>80</v>
      </c>
      <c r="I58" s="25">
        <f t="shared" si="2"/>
        <v>171.17812499999999</v>
      </c>
      <c r="J58" s="25">
        <f>(F58/(1+'Autres hypothèses'!$D$5))*('Autres hypothèses'!$D$5/(((1+'Autres hypothèses'!$D$5)^'Conduite principale'!H58-1)))</f>
        <v>111.43662193691361</v>
      </c>
      <c r="K58" s="26">
        <v>1965</v>
      </c>
      <c r="L58" s="22">
        <f t="shared" si="3"/>
        <v>57</v>
      </c>
      <c r="M58" s="1">
        <f t="shared" si="4"/>
        <v>0.71250000000000002</v>
      </c>
      <c r="N58" s="3">
        <f t="shared" si="0"/>
        <v>9757.1531250000007</v>
      </c>
      <c r="O58" s="3">
        <f t="shared" si="1"/>
        <v>3937.0968749999993</v>
      </c>
      <c r="P58">
        <f t="shared" si="5"/>
        <v>2045</v>
      </c>
      <c r="Q58">
        <f t="shared" si="6"/>
        <v>2125</v>
      </c>
    </row>
    <row r="59" spans="1:17" x14ac:dyDescent="0.25">
      <c r="A59" s="15" t="s">
        <v>220</v>
      </c>
      <c r="B59" s="5" t="s">
        <v>2698</v>
      </c>
      <c r="C59" s="5">
        <v>250</v>
      </c>
      <c r="D59" s="21">
        <v>98.5</v>
      </c>
      <c r="E59" s="24">
        <f>VLOOKUP(C59,'Taux unitaires'!H:I,2,FALSE)</f>
        <v>1488</v>
      </c>
      <c r="F59" s="25">
        <f t="shared" si="7"/>
        <v>146568</v>
      </c>
      <c r="G59" s="26">
        <f>VLOOKUP(B59,'Durée de vie utile'!$C$20:$E$25,3,FALSE)</f>
        <v>125</v>
      </c>
      <c r="H59" s="26">
        <f>VLOOKUP('Conduite principale'!B59,'Durée de vie utile'!$C$20:$E$25,2,FALSE)</f>
        <v>90</v>
      </c>
      <c r="I59" s="25">
        <f t="shared" si="2"/>
        <v>1628.5333333333333</v>
      </c>
      <c r="J59" s="25">
        <f>(F59/(1+'Autres hypothèses'!$D$5))*('Autres hypothèses'!$D$5/(((1+'Autres hypothèses'!$D$5)^'Conduite principale'!H59-1)))</f>
        <v>1001.7503693155447</v>
      </c>
      <c r="K59" s="26">
        <v>1965</v>
      </c>
      <c r="L59" s="22">
        <f t="shared" si="3"/>
        <v>57</v>
      </c>
      <c r="M59" s="1">
        <f t="shared" si="4"/>
        <v>0.6333333333333333</v>
      </c>
      <c r="N59" s="3">
        <f t="shared" si="0"/>
        <v>92826.4</v>
      </c>
      <c r="O59" s="3">
        <f t="shared" si="1"/>
        <v>53741.600000000006</v>
      </c>
      <c r="P59">
        <f t="shared" si="5"/>
        <v>2055</v>
      </c>
      <c r="Q59">
        <f t="shared" si="6"/>
        <v>2145</v>
      </c>
    </row>
    <row r="60" spans="1:17" x14ac:dyDescent="0.25">
      <c r="A60" s="15" t="s">
        <v>221</v>
      </c>
      <c r="B60" s="5" t="s">
        <v>2699</v>
      </c>
      <c r="C60" s="5">
        <v>250</v>
      </c>
      <c r="D60" s="21">
        <v>67.199999999999989</v>
      </c>
      <c r="E60" s="24">
        <f>VLOOKUP(C60,'Taux unitaires'!H:I,2,FALSE)</f>
        <v>1488</v>
      </c>
      <c r="F60" s="25">
        <f t="shared" si="7"/>
        <v>99993.599999999977</v>
      </c>
      <c r="G60" s="26">
        <f>VLOOKUP(B60,'Durée de vie utile'!$C$20:$E$25,3,FALSE)</f>
        <v>125</v>
      </c>
      <c r="H60" s="26">
        <f>VLOOKUP('Conduite principale'!B60,'Durée de vie utile'!$C$20:$E$25,2,FALSE)</f>
        <v>80</v>
      </c>
      <c r="I60" s="25">
        <f t="shared" si="2"/>
        <v>1249.9199999999996</v>
      </c>
      <c r="J60" s="25">
        <f>(F60/(1+'Autres hypothèses'!$D$5))*('Autres hypothèses'!$D$5/(((1+'Autres hypothèses'!$D$5)^'Conduite principale'!H60-1)))</f>
        <v>813.69545607177906</v>
      </c>
      <c r="K60" s="26">
        <v>1965</v>
      </c>
      <c r="L60" s="22">
        <f t="shared" si="3"/>
        <v>57</v>
      </c>
      <c r="M60" s="1">
        <f t="shared" si="4"/>
        <v>0.71250000000000002</v>
      </c>
      <c r="N60" s="3">
        <f t="shared" si="0"/>
        <v>71245.439999999988</v>
      </c>
      <c r="O60" s="3">
        <f t="shared" si="1"/>
        <v>28748.159999999989</v>
      </c>
      <c r="P60">
        <f t="shared" si="5"/>
        <v>2045</v>
      </c>
      <c r="Q60">
        <f t="shared" si="6"/>
        <v>2125</v>
      </c>
    </row>
    <row r="61" spans="1:17" x14ac:dyDescent="0.25">
      <c r="A61" s="15" t="s">
        <v>222</v>
      </c>
      <c r="B61" s="5" t="s">
        <v>2700</v>
      </c>
      <c r="C61" s="5">
        <v>200</v>
      </c>
      <c r="D61" s="21">
        <v>2.6</v>
      </c>
      <c r="E61" s="24">
        <f>VLOOKUP(C61,'Taux unitaires'!H:I,2,FALSE)</f>
        <v>1441.5</v>
      </c>
      <c r="F61" s="25">
        <f t="shared" si="7"/>
        <v>3747.9</v>
      </c>
      <c r="G61" s="26">
        <f>VLOOKUP(B61,'Durée de vie utile'!$C$20:$E$25,3,FALSE)</f>
        <v>125</v>
      </c>
      <c r="H61" s="26">
        <f>VLOOKUP('Conduite principale'!B61,'Durée de vie utile'!$C$20:$E$25,2,FALSE)</f>
        <v>90</v>
      </c>
      <c r="I61" s="25">
        <f t="shared" si="2"/>
        <v>41.643333333333331</v>
      </c>
      <c r="J61" s="25">
        <f>(F61/(1+'Autres hypothèses'!$D$5))*('Autres hypothèses'!$D$5/(((1+'Autres hypothèses'!$D$5)^'Conduite principale'!H61-1)))</f>
        <v>25.615824799122116</v>
      </c>
      <c r="K61" s="26">
        <v>1965</v>
      </c>
      <c r="L61" s="22">
        <f t="shared" si="3"/>
        <v>57</v>
      </c>
      <c r="M61" s="1">
        <f t="shared" si="4"/>
        <v>0.6333333333333333</v>
      </c>
      <c r="N61" s="3">
        <f t="shared" si="0"/>
        <v>2373.67</v>
      </c>
      <c r="O61" s="3">
        <f t="shared" si="1"/>
        <v>1374.23</v>
      </c>
      <c r="P61">
        <f t="shared" si="5"/>
        <v>2055</v>
      </c>
      <c r="Q61">
        <f t="shared" si="6"/>
        <v>2145</v>
      </c>
    </row>
    <row r="62" spans="1:17" x14ac:dyDescent="0.25">
      <c r="A62" s="15" t="s">
        <v>223</v>
      </c>
      <c r="B62" s="5" t="s">
        <v>2701</v>
      </c>
      <c r="C62" s="5">
        <v>200</v>
      </c>
      <c r="D62" s="21">
        <v>25</v>
      </c>
      <c r="E62" s="24">
        <f>VLOOKUP(C62,'Taux unitaires'!H:I,2,FALSE)</f>
        <v>1441.5</v>
      </c>
      <c r="F62" s="25">
        <f t="shared" si="7"/>
        <v>36037.5</v>
      </c>
      <c r="G62" s="26">
        <f>VLOOKUP(B62,'Durée de vie utile'!$C$20:$E$25,3,FALSE)</f>
        <v>125</v>
      </c>
      <c r="H62" s="26">
        <f>VLOOKUP('Conduite principale'!B62,'Durée de vie utile'!$C$20:$E$25,2,FALSE)</f>
        <v>80</v>
      </c>
      <c r="I62" s="25">
        <f t="shared" si="2"/>
        <v>450.46875</v>
      </c>
      <c r="J62" s="25">
        <f>(F62/(1+'Autres hypothèses'!$D$5))*('Autres hypothèses'!$D$5/(((1+'Autres hypothèses'!$D$5)^'Conduite principale'!H62-1)))</f>
        <v>293.25426825503581</v>
      </c>
      <c r="K62" s="26">
        <v>1972</v>
      </c>
      <c r="L62" s="22">
        <f t="shared" si="3"/>
        <v>50</v>
      </c>
      <c r="M62" s="1">
        <f t="shared" si="4"/>
        <v>0.625</v>
      </c>
      <c r="N62" s="3">
        <f t="shared" si="0"/>
        <v>22523.4375</v>
      </c>
      <c r="O62" s="3">
        <f t="shared" si="1"/>
        <v>13514.0625</v>
      </c>
      <c r="P62">
        <f t="shared" si="5"/>
        <v>2052</v>
      </c>
      <c r="Q62">
        <f t="shared" si="6"/>
        <v>2132</v>
      </c>
    </row>
    <row r="63" spans="1:17" x14ac:dyDescent="0.25">
      <c r="A63" s="15" t="s">
        <v>224</v>
      </c>
      <c r="B63" s="5" t="s">
        <v>2702</v>
      </c>
      <c r="C63" s="5">
        <v>200</v>
      </c>
      <c r="D63" s="21">
        <v>92.899999999999991</v>
      </c>
      <c r="E63" s="24">
        <f>VLOOKUP(C63,'Taux unitaires'!H:I,2,FALSE)</f>
        <v>1441.5</v>
      </c>
      <c r="F63" s="25">
        <f t="shared" si="7"/>
        <v>133915.34999999998</v>
      </c>
      <c r="G63" s="26">
        <f>VLOOKUP(B63,'Durée de vie utile'!$C$20:$E$25,3,FALSE)</f>
        <v>125</v>
      </c>
      <c r="H63" s="26">
        <f>VLOOKUP('Conduite principale'!B63,'Durée de vie utile'!$C$20:$E$25,2,FALSE)</f>
        <v>80</v>
      </c>
      <c r="I63" s="25">
        <f t="shared" si="2"/>
        <v>1673.9418749999998</v>
      </c>
      <c r="J63" s="25">
        <f>(F63/(1+'Autres hypothèses'!$D$5))*('Autres hypothèses'!$D$5/(((1+'Autres hypothèses'!$D$5)^'Conduite principale'!H63-1)))</f>
        <v>1089.7328608357129</v>
      </c>
      <c r="K63" s="26">
        <v>1965</v>
      </c>
      <c r="L63" s="22">
        <f t="shared" si="3"/>
        <v>57</v>
      </c>
      <c r="M63" s="1">
        <f t="shared" si="4"/>
        <v>0.71250000000000002</v>
      </c>
      <c r="N63" s="3">
        <f t="shared" si="0"/>
        <v>95414.686874999985</v>
      </c>
      <c r="O63" s="3">
        <f t="shared" si="1"/>
        <v>38500.663124999992</v>
      </c>
      <c r="P63">
        <f t="shared" si="5"/>
        <v>2045</v>
      </c>
      <c r="Q63">
        <f t="shared" si="6"/>
        <v>2125</v>
      </c>
    </row>
    <row r="64" spans="1:17" x14ac:dyDescent="0.25">
      <c r="A64" s="15" t="s">
        <v>225</v>
      </c>
      <c r="B64" s="5" t="s">
        <v>2703</v>
      </c>
      <c r="C64" s="5">
        <v>450</v>
      </c>
      <c r="D64" s="21">
        <v>84.399999999999991</v>
      </c>
      <c r="E64" s="24">
        <f>VLOOKUP(C64,'Taux unitaires'!H:I,2,FALSE)</f>
        <v>1581</v>
      </c>
      <c r="F64" s="25">
        <f t="shared" si="7"/>
        <v>133436.4</v>
      </c>
      <c r="G64" s="26">
        <f>VLOOKUP(B64,'Durée de vie utile'!$C$20:$E$25,3,FALSE)</f>
        <v>100</v>
      </c>
      <c r="H64" s="26">
        <f>VLOOKUP('Conduite principale'!B64,'Durée de vie utile'!$C$20:$E$25,2,FALSE)</f>
        <v>80</v>
      </c>
      <c r="I64" s="25">
        <f t="shared" si="2"/>
        <v>1667.9549999999999</v>
      </c>
      <c r="J64" s="25">
        <f>(F64/(1+'Autres hypothèses'!$D$5))*('Autres hypothèses'!$D$5/(((1+'Autres hypothèses'!$D$5)^'Conduite principale'!H64-1)))</f>
        <v>1085.8354170124524</v>
      </c>
      <c r="K64" s="26">
        <v>1966</v>
      </c>
      <c r="L64" s="22">
        <f t="shared" si="3"/>
        <v>56</v>
      </c>
      <c r="M64" s="1">
        <f t="shared" si="4"/>
        <v>0.7</v>
      </c>
      <c r="N64" s="3">
        <f t="shared" si="0"/>
        <v>93405.48</v>
      </c>
      <c r="O64" s="3">
        <f t="shared" si="1"/>
        <v>40030.92</v>
      </c>
      <c r="P64">
        <f t="shared" si="5"/>
        <v>2046</v>
      </c>
      <c r="Q64">
        <f t="shared" si="6"/>
        <v>2126</v>
      </c>
    </row>
    <row r="65" spans="1:17" x14ac:dyDescent="0.25">
      <c r="A65" s="15" t="s">
        <v>226</v>
      </c>
      <c r="B65" s="5" t="s">
        <v>2704</v>
      </c>
      <c r="C65" s="5">
        <v>200</v>
      </c>
      <c r="D65" s="21">
        <v>34.4</v>
      </c>
      <c r="E65" s="24">
        <f>VLOOKUP(C65,'Taux unitaires'!H:I,2,FALSE)</f>
        <v>1441.5</v>
      </c>
      <c r="F65" s="25">
        <f t="shared" si="7"/>
        <v>49587.6</v>
      </c>
      <c r="G65" s="26">
        <f>VLOOKUP(B65,'Durée de vie utile'!$C$20:$E$25,3,FALSE)</f>
        <v>100</v>
      </c>
      <c r="H65" s="26">
        <f>VLOOKUP('Conduite principale'!B65,'Durée de vie utile'!$C$20:$E$25,2,FALSE)</f>
        <v>80</v>
      </c>
      <c r="I65" s="25">
        <f t="shared" si="2"/>
        <v>619.84500000000003</v>
      </c>
      <c r="J65" s="25">
        <f>(F65/(1+'Autres hypothèses'!$D$5))*('Autres hypothèses'!$D$5/(((1+'Autres hypothèses'!$D$5)^'Conduite principale'!H65-1)))</f>
        <v>403.51787311892929</v>
      </c>
      <c r="K65" s="26">
        <v>1967</v>
      </c>
      <c r="L65" s="22">
        <f t="shared" si="3"/>
        <v>55</v>
      </c>
      <c r="M65" s="1">
        <f t="shared" si="4"/>
        <v>0.6875</v>
      </c>
      <c r="N65" s="3">
        <f t="shared" si="0"/>
        <v>34091.474999999999</v>
      </c>
      <c r="O65" s="3">
        <f t="shared" si="1"/>
        <v>15496.125</v>
      </c>
      <c r="P65">
        <f t="shared" si="5"/>
        <v>2047</v>
      </c>
      <c r="Q65">
        <f t="shared" si="6"/>
        <v>2127</v>
      </c>
    </row>
    <row r="66" spans="1:17" x14ac:dyDescent="0.25">
      <c r="A66" s="15" t="s">
        <v>227</v>
      </c>
      <c r="B66" s="5" t="s">
        <v>2705</v>
      </c>
      <c r="C66" s="5">
        <v>450</v>
      </c>
      <c r="D66" s="21">
        <v>50.800000000000004</v>
      </c>
      <c r="E66" s="24">
        <f>VLOOKUP(C66,'Taux unitaires'!H:I,2,FALSE)</f>
        <v>1581</v>
      </c>
      <c r="F66" s="25">
        <f t="shared" si="7"/>
        <v>80314.8</v>
      </c>
      <c r="G66" s="26">
        <f>VLOOKUP(B66,'Durée de vie utile'!$C$20:$E$25,3,FALSE)</f>
        <v>125</v>
      </c>
      <c r="H66" s="26">
        <f>VLOOKUP('Conduite principale'!B66,'Durée de vie utile'!$C$20:$E$25,2,FALSE)</f>
        <v>90</v>
      </c>
      <c r="I66" s="25">
        <f t="shared" si="2"/>
        <v>892.38666666666666</v>
      </c>
      <c r="J66" s="25">
        <f>(F66/(1+'Autres hypothèses'!$D$5))*('Autres hypothèses'!$D$5/(((1+'Autres hypothèses'!$D$5)^'Conduite principale'!H66-1)))</f>
        <v>548.92869222138609</v>
      </c>
      <c r="K66" s="26">
        <v>1968</v>
      </c>
      <c r="L66" s="22">
        <f t="shared" ref="L66:L129" si="8">2022-K66</f>
        <v>54</v>
      </c>
      <c r="M66" s="1">
        <f t="shared" ref="M66:M129" si="9">L66/H66</f>
        <v>0.6</v>
      </c>
      <c r="N66" s="3">
        <f t="shared" ref="N66:N129" si="10">M66*F66</f>
        <v>48188.88</v>
      </c>
      <c r="O66" s="3">
        <f t="shared" ref="O66:O129" si="11">F66-N66</f>
        <v>32125.920000000006</v>
      </c>
      <c r="P66">
        <f t="shared" si="5"/>
        <v>2058</v>
      </c>
      <c r="Q66">
        <f t="shared" si="6"/>
        <v>2148</v>
      </c>
    </row>
    <row r="67" spans="1:17" x14ac:dyDescent="0.25">
      <c r="A67" s="15" t="s">
        <v>228</v>
      </c>
      <c r="B67" s="5" t="s">
        <v>2706</v>
      </c>
      <c r="C67" s="5">
        <v>200</v>
      </c>
      <c r="D67" s="21">
        <v>23.3</v>
      </c>
      <c r="E67" s="24">
        <f>VLOOKUP(C67,'Taux unitaires'!H:I,2,FALSE)</f>
        <v>1441.5</v>
      </c>
      <c r="F67" s="25">
        <f t="shared" ref="F67:F130" si="12">D67*E67</f>
        <v>33586.950000000004</v>
      </c>
      <c r="G67" s="26">
        <f>VLOOKUP(B67,'Durée de vie utile'!$C$20:$E$25,3,FALSE)</f>
        <v>100</v>
      </c>
      <c r="H67" s="26">
        <f>VLOOKUP('Conduite principale'!B67,'Durée de vie utile'!$C$20:$E$25,2,FALSE)</f>
        <v>80</v>
      </c>
      <c r="I67" s="25">
        <f t="shared" ref="I67:I130" si="13">F67/H67</f>
        <v>419.83687500000008</v>
      </c>
      <c r="J67" s="25">
        <f>(F67/(1+'Autres hypothèses'!$D$5))*('Autres hypothèses'!$D$5/(((1+'Autres hypothèses'!$D$5)^'Conduite principale'!H67-1)))</f>
        <v>273.3129780136934</v>
      </c>
      <c r="K67" s="26">
        <v>1968</v>
      </c>
      <c r="L67" s="22">
        <f t="shared" si="8"/>
        <v>54</v>
      </c>
      <c r="M67" s="1">
        <f t="shared" si="9"/>
        <v>0.67500000000000004</v>
      </c>
      <c r="N67" s="3">
        <f t="shared" si="10"/>
        <v>22671.191250000003</v>
      </c>
      <c r="O67" s="3">
        <f t="shared" si="11"/>
        <v>10915.758750000001</v>
      </c>
      <c r="P67">
        <f t="shared" ref="P67:P130" si="14">K67+H67</f>
        <v>2048</v>
      </c>
      <c r="Q67">
        <f t="shared" ref="Q67:Q130" si="15">P67+H67</f>
        <v>2128</v>
      </c>
    </row>
    <row r="68" spans="1:17" x14ac:dyDescent="0.25">
      <c r="A68" s="15" t="s">
        <v>229</v>
      </c>
      <c r="B68" s="5" t="s">
        <v>2707</v>
      </c>
      <c r="C68" s="5">
        <v>200</v>
      </c>
      <c r="D68" s="21">
        <v>66.899999999999991</v>
      </c>
      <c r="E68" s="24">
        <f>VLOOKUP(C68,'Taux unitaires'!H:I,2,FALSE)</f>
        <v>1441.5</v>
      </c>
      <c r="F68" s="25">
        <f t="shared" si="12"/>
        <v>96436.349999999991</v>
      </c>
      <c r="G68" s="26">
        <f>VLOOKUP(B68,'Durée de vie utile'!$C$20:$E$25,3,FALSE)</f>
        <v>125</v>
      </c>
      <c r="H68" s="26">
        <f>VLOOKUP('Conduite principale'!B68,'Durée de vie utile'!$C$20:$E$25,2,FALSE)</f>
        <v>80</v>
      </c>
      <c r="I68" s="25">
        <f t="shared" si="13"/>
        <v>1205.4543749999998</v>
      </c>
      <c r="J68" s="25">
        <f>(F68/(1+'Autres hypothèses'!$D$5))*('Autres hypothèses'!$D$5/(((1+'Autres hypothèses'!$D$5)^'Conduite principale'!H68-1)))</f>
        <v>784.74842185047578</v>
      </c>
      <c r="K68" s="26">
        <v>1972</v>
      </c>
      <c r="L68" s="22">
        <f t="shared" si="8"/>
        <v>50</v>
      </c>
      <c r="M68" s="1">
        <f t="shared" si="9"/>
        <v>0.625</v>
      </c>
      <c r="N68" s="3">
        <f t="shared" si="10"/>
        <v>60272.718749999993</v>
      </c>
      <c r="O68" s="3">
        <f t="shared" si="11"/>
        <v>36163.631249999999</v>
      </c>
      <c r="P68">
        <f t="shared" si="14"/>
        <v>2052</v>
      </c>
      <c r="Q68">
        <f t="shared" si="15"/>
        <v>2132</v>
      </c>
    </row>
    <row r="69" spans="1:17" x14ac:dyDescent="0.25">
      <c r="A69" s="15" t="s">
        <v>230</v>
      </c>
      <c r="B69" s="5" t="s">
        <v>2708</v>
      </c>
      <c r="C69" s="5">
        <v>200</v>
      </c>
      <c r="D69" s="21">
        <v>8.6999999999999993</v>
      </c>
      <c r="E69" s="24">
        <f>VLOOKUP(C69,'Taux unitaires'!H:I,2,FALSE)</f>
        <v>1441.5</v>
      </c>
      <c r="F69" s="25">
        <f t="shared" si="12"/>
        <v>12541.05</v>
      </c>
      <c r="G69" s="26">
        <f>VLOOKUP(B69,'Durée de vie utile'!$C$20:$E$25,3,FALSE)</f>
        <v>125</v>
      </c>
      <c r="H69" s="26">
        <f>VLOOKUP('Conduite principale'!B69,'Durée de vie utile'!$C$20:$E$25,2,FALSE)</f>
        <v>80</v>
      </c>
      <c r="I69" s="25">
        <f t="shared" si="13"/>
        <v>156.763125</v>
      </c>
      <c r="J69" s="25">
        <f>(F69/(1+'Autres hypothèses'!$D$5))*('Autres hypothèses'!$D$5/(((1+'Autres hypothèses'!$D$5)^'Conduite principale'!H69-1)))</f>
        <v>102.05248535275244</v>
      </c>
      <c r="K69" s="26">
        <v>1968</v>
      </c>
      <c r="L69" s="22">
        <f t="shared" si="8"/>
        <v>54</v>
      </c>
      <c r="M69" s="1">
        <f t="shared" si="9"/>
        <v>0.67500000000000004</v>
      </c>
      <c r="N69" s="3">
        <f t="shared" si="10"/>
        <v>8465.2087499999998</v>
      </c>
      <c r="O69" s="3">
        <f t="shared" si="11"/>
        <v>4075.8412499999995</v>
      </c>
      <c r="P69">
        <f t="shared" si="14"/>
        <v>2048</v>
      </c>
      <c r="Q69">
        <f t="shared" si="15"/>
        <v>2128</v>
      </c>
    </row>
    <row r="70" spans="1:17" x14ac:dyDescent="0.25">
      <c r="A70" s="15" t="s">
        <v>231</v>
      </c>
      <c r="B70" s="5" t="s">
        <v>2709</v>
      </c>
      <c r="C70" s="5">
        <v>450</v>
      </c>
      <c r="D70" s="21">
        <v>97.899999999999991</v>
      </c>
      <c r="E70" s="24">
        <f>VLOOKUP(C70,'Taux unitaires'!H:I,2,FALSE)</f>
        <v>1581</v>
      </c>
      <c r="F70" s="25">
        <f t="shared" si="12"/>
        <v>154779.9</v>
      </c>
      <c r="G70" s="26">
        <f>VLOOKUP(B70,'Durée de vie utile'!$C$20:$E$25,3,FALSE)</f>
        <v>100</v>
      </c>
      <c r="H70" s="26">
        <f>VLOOKUP('Conduite principale'!B70,'Durée de vie utile'!$C$20:$E$25,2,FALSE)</f>
        <v>80</v>
      </c>
      <c r="I70" s="25">
        <f t="shared" si="13"/>
        <v>1934.74875</v>
      </c>
      <c r="J70" s="25">
        <f>(F70/(1+'Autres hypothèses'!$D$5))*('Autres hypothèses'!$D$5/(((1+'Autres hypothèses'!$D$5)^'Conduite principale'!H70-1)))</f>
        <v>1259.5176223402736</v>
      </c>
      <c r="K70" s="26">
        <v>1972</v>
      </c>
      <c r="L70" s="22">
        <f t="shared" si="8"/>
        <v>50</v>
      </c>
      <c r="M70" s="1">
        <f t="shared" si="9"/>
        <v>0.625</v>
      </c>
      <c r="N70" s="3">
        <f t="shared" si="10"/>
        <v>96737.4375</v>
      </c>
      <c r="O70" s="3">
        <f t="shared" si="11"/>
        <v>58042.462499999994</v>
      </c>
      <c r="P70">
        <f t="shared" si="14"/>
        <v>2052</v>
      </c>
      <c r="Q70">
        <f t="shared" si="15"/>
        <v>2132</v>
      </c>
    </row>
    <row r="71" spans="1:17" x14ac:dyDescent="0.25">
      <c r="A71" s="15" t="s">
        <v>232</v>
      </c>
      <c r="B71" s="5" t="s">
        <v>2710</v>
      </c>
      <c r="C71" s="5">
        <v>200</v>
      </c>
      <c r="D71" s="21">
        <v>80.699999999999989</v>
      </c>
      <c r="E71" s="24">
        <f>VLOOKUP(C71,'Taux unitaires'!H:I,2,FALSE)</f>
        <v>1441.5</v>
      </c>
      <c r="F71" s="25">
        <f t="shared" si="12"/>
        <v>116329.04999999999</v>
      </c>
      <c r="G71" s="26">
        <f>VLOOKUP(B71,'Durée de vie utile'!$C$20:$E$25,3,FALSE)</f>
        <v>125</v>
      </c>
      <c r="H71" s="26">
        <f>VLOOKUP('Conduite principale'!B71,'Durée de vie utile'!$C$20:$E$25,2,FALSE)</f>
        <v>80</v>
      </c>
      <c r="I71" s="25">
        <f t="shared" si="13"/>
        <v>1454.1131249999999</v>
      </c>
      <c r="J71" s="25">
        <f>(F71/(1+'Autres hypothèses'!$D$5))*('Autres hypothèses'!$D$5/(((1+'Autres hypothèses'!$D$5)^'Conduite principale'!H71-1)))</f>
        <v>946.62477792725554</v>
      </c>
      <c r="K71" s="26">
        <v>1972</v>
      </c>
      <c r="L71" s="22">
        <f t="shared" si="8"/>
        <v>50</v>
      </c>
      <c r="M71" s="1">
        <f t="shared" si="9"/>
        <v>0.625</v>
      </c>
      <c r="N71" s="3">
        <f t="shared" si="10"/>
        <v>72705.65625</v>
      </c>
      <c r="O71" s="3">
        <f t="shared" si="11"/>
        <v>43623.393749999988</v>
      </c>
      <c r="P71">
        <f t="shared" si="14"/>
        <v>2052</v>
      </c>
      <c r="Q71">
        <f t="shared" si="15"/>
        <v>2132</v>
      </c>
    </row>
    <row r="72" spans="1:17" x14ac:dyDescent="0.25">
      <c r="A72" s="15" t="s">
        <v>233</v>
      </c>
      <c r="B72" s="5" t="s">
        <v>2711</v>
      </c>
      <c r="C72" s="5">
        <v>450</v>
      </c>
      <c r="D72" s="21">
        <v>56.300000000000004</v>
      </c>
      <c r="E72" s="24">
        <f>VLOOKUP(C72,'Taux unitaires'!H:I,2,FALSE)</f>
        <v>1581</v>
      </c>
      <c r="F72" s="25">
        <f t="shared" si="12"/>
        <v>89010.3</v>
      </c>
      <c r="G72" s="26">
        <f>VLOOKUP(B72,'Durée de vie utile'!$C$20:$E$25,3,FALSE)</f>
        <v>125</v>
      </c>
      <c r="H72" s="26">
        <f>VLOOKUP('Conduite principale'!B72,'Durée de vie utile'!$C$20:$E$25,2,FALSE)</f>
        <v>90</v>
      </c>
      <c r="I72" s="25">
        <f t="shared" si="13"/>
        <v>989.00333333333333</v>
      </c>
      <c r="J72" s="25">
        <f>(F72/(1+'Autres hypothèses'!$D$5))*('Autres hypothèses'!$D$5/(((1+'Autres hypothèses'!$D$5)^'Conduite principale'!H72-1)))</f>
        <v>608.35994826897718</v>
      </c>
      <c r="K72" s="26">
        <v>1968</v>
      </c>
      <c r="L72" s="22">
        <f t="shared" si="8"/>
        <v>54</v>
      </c>
      <c r="M72" s="1">
        <f t="shared" si="9"/>
        <v>0.6</v>
      </c>
      <c r="N72" s="3">
        <f t="shared" si="10"/>
        <v>53406.18</v>
      </c>
      <c r="O72" s="3">
        <f t="shared" si="11"/>
        <v>35604.120000000003</v>
      </c>
      <c r="P72">
        <f t="shared" si="14"/>
        <v>2058</v>
      </c>
      <c r="Q72">
        <f t="shared" si="15"/>
        <v>2148</v>
      </c>
    </row>
    <row r="73" spans="1:17" x14ac:dyDescent="0.25">
      <c r="A73" s="15" t="s">
        <v>234</v>
      </c>
      <c r="B73" s="5" t="s">
        <v>2712</v>
      </c>
      <c r="C73" s="5">
        <v>200</v>
      </c>
      <c r="D73" s="21">
        <v>94.199999999999989</v>
      </c>
      <c r="E73" s="24">
        <f>VLOOKUP(C73,'Taux unitaires'!H:I,2,FALSE)</f>
        <v>1441.5</v>
      </c>
      <c r="F73" s="25">
        <f t="shared" si="12"/>
        <v>135789.29999999999</v>
      </c>
      <c r="G73" s="26">
        <f>VLOOKUP(B73,'Durée de vie utile'!$C$20:$E$25,3,FALSE)</f>
        <v>100</v>
      </c>
      <c r="H73" s="26">
        <f>VLOOKUP('Conduite principale'!B73,'Durée de vie utile'!$C$20:$E$25,2,FALSE)</f>
        <v>80</v>
      </c>
      <c r="I73" s="25">
        <f t="shared" si="13"/>
        <v>1697.3662499999998</v>
      </c>
      <c r="J73" s="25">
        <f>(F73/(1+'Autres hypothèses'!$D$5))*('Autres hypothèses'!$D$5/(((1+'Autres hypothèses'!$D$5)^'Conduite principale'!H73-1)))</f>
        <v>1104.9820827849749</v>
      </c>
      <c r="K73" s="26">
        <v>1968</v>
      </c>
      <c r="L73" s="22">
        <f t="shared" si="8"/>
        <v>54</v>
      </c>
      <c r="M73" s="1">
        <f t="shared" si="9"/>
        <v>0.67500000000000004</v>
      </c>
      <c r="N73" s="3">
        <f t="shared" si="10"/>
        <v>91657.777499999997</v>
      </c>
      <c r="O73" s="3">
        <f t="shared" si="11"/>
        <v>44131.522499999992</v>
      </c>
      <c r="P73">
        <f t="shared" si="14"/>
        <v>2048</v>
      </c>
      <c r="Q73">
        <f t="shared" si="15"/>
        <v>2128</v>
      </c>
    </row>
    <row r="74" spans="1:17" x14ac:dyDescent="0.25">
      <c r="A74" s="15" t="s">
        <v>235</v>
      </c>
      <c r="B74" s="5" t="s">
        <v>2713</v>
      </c>
      <c r="C74" s="5">
        <v>450</v>
      </c>
      <c r="D74" s="21">
        <v>92.1</v>
      </c>
      <c r="E74" s="24">
        <f>VLOOKUP(C74,'Taux unitaires'!H:I,2,FALSE)</f>
        <v>1581</v>
      </c>
      <c r="F74" s="25">
        <f t="shared" si="12"/>
        <v>145610.09999999998</v>
      </c>
      <c r="G74" s="26">
        <f>VLOOKUP(B74,'Durée de vie utile'!$C$20:$E$25,3,FALSE)</f>
        <v>125</v>
      </c>
      <c r="H74" s="26">
        <f>VLOOKUP('Conduite principale'!B74,'Durée de vie utile'!$C$20:$E$25,2,FALSE)</f>
        <v>90</v>
      </c>
      <c r="I74" s="25">
        <f t="shared" si="13"/>
        <v>1617.8899999999996</v>
      </c>
      <c r="J74" s="25">
        <f>(F74/(1+'Autres hypothèses'!$D$5))*('Autres hypothèses'!$D$5/(((1+'Autres hypothèses'!$D$5)^'Conduite principale'!H74-1)))</f>
        <v>995.20339672420573</v>
      </c>
      <c r="K74" s="26">
        <v>1968</v>
      </c>
      <c r="L74" s="22">
        <f t="shared" si="8"/>
        <v>54</v>
      </c>
      <c r="M74" s="1">
        <f t="shared" si="9"/>
        <v>0.6</v>
      </c>
      <c r="N74" s="3">
        <f t="shared" si="10"/>
        <v>87366.059999999983</v>
      </c>
      <c r="O74" s="3">
        <f t="shared" si="11"/>
        <v>58244.039999999994</v>
      </c>
      <c r="P74">
        <f t="shared" si="14"/>
        <v>2058</v>
      </c>
      <c r="Q74">
        <f t="shared" si="15"/>
        <v>2148</v>
      </c>
    </row>
    <row r="75" spans="1:17" x14ac:dyDescent="0.25">
      <c r="A75" s="15" t="s">
        <v>236</v>
      </c>
      <c r="B75" s="5" t="s">
        <v>2714</v>
      </c>
      <c r="C75" s="5">
        <v>200</v>
      </c>
      <c r="D75" s="21">
        <v>41.800000000000004</v>
      </c>
      <c r="E75" s="24">
        <f>VLOOKUP(C75,'Taux unitaires'!H:I,2,FALSE)</f>
        <v>1441.5</v>
      </c>
      <c r="F75" s="25">
        <f t="shared" si="12"/>
        <v>60254.700000000004</v>
      </c>
      <c r="G75" s="26">
        <f>VLOOKUP(B75,'Durée de vie utile'!$C$20:$E$25,3,FALSE)</f>
        <v>125</v>
      </c>
      <c r="H75" s="26">
        <f>VLOOKUP('Conduite principale'!B75,'Durée de vie utile'!$C$20:$E$25,2,FALSE)</f>
        <v>90</v>
      </c>
      <c r="I75" s="25">
        <f t="shared" si="13"/>
        <v>669.49666666666667</v>
      </c>
      <c r="J75" s="25">
        <f>(F75/(1+'Autres hypothèses'!$D$5))*('Autres hypothèses'!$D$5/(((1+'Autres hypothèses'!$D$5)^'Conduite principale'!H75-1)))</f>
        <v>411.82364484742482</v>
      </c>
      <c r="K75" s="26">
        <v>1968</v>
      </c>
      <c r="L75" s="22">
        <f t="shared" si="8"/>
        <v>54</v>
      </c>
      <c r="M75" s="1">
        <f t="shared" si="9"/>
        <v>0.6</v>
      </c>
      <c r="N75" s="3">
        <f t="shared" si="10"/>
        <v>36152.82</v>
      </c>
      <c r="O75" s="3">
        <f t="shared" si="11"/>
        <v>24101.880000000005</v>
      </c>
      <c r="P75">
        <f t="shared" si="14"/>
        <v>2058</v>
      </c>
      <c r="Q75">
        <f t="shared" si="15"/>
        <v>2148</v>
      </c>
    </row>
    <row r="76" spans="1:17" x14ac:dyDescent="0.25">
      <c r="A76" s="15" t="s">
        <v>237</v>
      </c>
      <c r="B76" s="5" t="s">
        <v>2715</v>
      </c>
      <c r="C76" s="5">
        <v>250</v>
      </c>
      <c r="D76" s="21">
        <v>79</v>
      </c>
      <c r="E76" s="24">
        <f>VLOOKUP(C76,'Taux unitaires'!H:I,2,FALSE)</f>
        <v>1488</v>
      </c>
      <c r="F76" s="25">
        <f t="shared" si="12"/>
        <v>117552</v>
      </c>
      <c r="G76" s="26">
        <f>VLOOKUP(B76,'Durée de vie utile'!$C$20:$E$25,3,FALSE)</f>
        <v>100</v>
      </c>
      <c r="H76" s="26">
        <f>VLOOKUP('Conduite principale'!B76,'Durée de vie utile'!$C$20:$E$25,2,FALSE)</f>
        <v>80</v>
      </c>
      <c r="I76" s="25">
        <f t="shared" si="13"/>
        <v>1469.4</v>
      </c>
      <c r="J76" s="25">
        <f>(F76/(1+'Autres hypothèses'!$D$5))*('Autres hypothèses'!$D$5/(((1+'Autres hypothèses'!$D$5)^'Conduite principale'!H76-1)))</f>
        <v>956.57650341771671</v>
      </c>
      <c r="K76" s="26">
        <v>1969</v>
      </c>
      <c r="L76" s="22">
        <f t="shared" si="8"/>
        <v>53</v>
      </c>
      <c r="M76" s="1">
        <f t="shared" si="9"/>
        <v>0.66249999999999998</v>
      </c>
      <c r="N76" s="3">
        <f t="shared" si="10"/>
        <v>77878.2</v>
      </c>
      <c r="O76" s="3">
        <f t="shared" si="11"/>
        <v>39673.800000000003</v>
      </c>
      <c r="P76">
        <f t="shared" si="14"/>
        <v>2049</v>
      </c>
      <c r="Q76">
        <f t="shared" si="15"/>
        <v>2129</v>
      </c>
    </row>
    <row r="77" spans="1:17" x14ac:dyDescent="0.25">
      <c r="A77" s="15" t="s">
        <v>238</v>
      </c>
      <c r="B77" s="5" t="s">
        <v>2716</v>
      </c>
      <c r="C77" s="5">
        <v>200</v>
      </c>
      <c r="D77" s="21">
        <v>15.799999999999999</v>
      </c>
      <c r="E77" s="24">
        <f>VLOOKUP(C77,'Taux unitaires'!H:I,2,FALSE)</f>
        <v>1441.5</v>
      </c>
      <c r="F77" s="25">
        <f t="shared" si="12"/>
        <v>22775.699999999997</v>
      </c>
      <c r="G77" s="26">
        <f>VLOOKUP(B77,'Durée de vie utile'!$C$20:$E$25,3,FALSE)</f>
        <v>100</v>
      </c>
      <c r="H77" s="26">
        <f>VLOOKUP('Conduite principale'!B77,'Durée de vie utile'!$C$20:$E$25,2,FALSE)</f>
        <v>80</v>
      </c>
      <c r="I77" s="25">
        <f t="shared" si="13"/>
        <v>284.69624999999996</v>
      </c>
      <c r="J77" s="25">
        <f>(F77/(1+'Autres hypothèses'!$D$5))*('Autres hypothèses'!$D$5/(((1+'Autres hypothèses'!$D$5)^'Conduite principale'!H77-1)))</f>
        <v>185.3366975371826</v>
      </c>
      <c r="K77" s="26">
        <v>1972</v>
      </c>
      <c r="L77" s="22">
        <f t="shared" si="8"/>
        <v>50</v>
      </c>
      <c r="M77" s="1">
        <f t="shared" si="9"/>
        <v>0.625</v>
      </c>
      <c r="N77" s="3">
        <f t="shared" si="10"/>
        <v>14234.812499999998</v>
      </c>
      <c r="O77" s="3">
        <f t="shared" si="11"/>
        <v>8540.8874999999989</v>
      </c>
      <c r="P77">
        <f t="shared" si="14"/>
        <v>2052</v>
      </c>
      <c r="Q77">
        <f t="shared" si="15"/>
        <v>2132</v>
      </c>
    </row>
    <row r="78" spans="1:17" x14ac:dyDescent="0.25">
      <c r="A78" s="15" t="s">
        <v>239</v>
      </c>
      <c r="B78" s="5" t="s">
        <v>2717</v>
      </c>
      <c r="C78" s="5">
        <v>450</v>
      </c>
      <c r="D78" s="21">
        <v>21.3</v>
      </c>
      <c r="E78" s="24">
        <f>VLOOKUP(C78,'Taux unitaires'!H:I,2,FALSE)</f>
        <v>1581</v>
      </c>
      <c r="F78" s="25">
        <f t="shared" si="12"/>
        <v>33675.300000000003</v>
      </c>
      <c r="G78" s="26">
        <f>VLOOKUP(B78,'Durée de vie utile'!$C$20:$E$25,3,FALSE)</f>
        <v>100</v>
      </c>
      <c r="H78" s="26">
        <f>VLOOKUP('Conduite principale'!B78,'Durée de vie utile'!$C$20:$E$25,2,FALSE)</f>
        <v>80</v>
      </c>
      <c r="I78" s="25">
        <f t="shared" si="13"/>
        <v>420.94125000000003</v>
      </c>
      <c r="J78" s="25">
        <f>(F78/(1+'Autres hypothèses'!$D$5))*('Autres hypothèses'!$D$5/(((1+'Autres hypothèses'!$D$5)^'Conduite principale'!H78-1)))</f>
        <v>274.0319239616735</v>
      </c>
      <c r="K78" s="26">
        <v>1972</v>
      </c>
      <c r="L78" s="22">
        <f t="shared" si="8"/>
        <v>50</v>
      </c>
      <c r="M78" s="1">
        <f t="shared" si="9"/>
        <v>0.625</v>
      </c>
      <c r="N78" s="3">
        <f t="shared" si="10"/>
        <v>21047.0625</v>
      </c>
      <c r="O78" s="3">
        <f t="shared" si="11"/>
        <v>12628.237500000003</v>
      </c>
      <c r="P78">
        <f t="shared" si="14"/>
        <v>2052</v>
      </c>
      <c r="Q78">
        <f t="shared" si="15"/>
        <v>2132</v>
      </c>
    </row>
    <row r="79" spans="1:17" x14ac:dyDescent="0.25">
      <c r="A79" s="15" t="s">
        <v>240</v>
      </c>
      <c r="B79" s="5" t="s">
        <v>2718</v>
      </c>
      <c r="C79" s="5">
        <v>200</v>
      </c>
      <c r="D79" s="21">
        <v>69.099999999999994</v>
      </c>
      <c r="E79" s="24">
        <f>VLOOKUP(C79,'Taux unitaires'!H:I,2,FALSE)</f>
        <v>1441.5</v>
      </c>
      <c r="F79" s="25">
        <f t="shared" si="12"/>
        <v>99607.65</v>
      </c>
      <c r="G79" s="26">
        <f>VLOOKUP(B79,'Durée de vie utile'!$C$20:$E$25,3,FALSE)</f>
        <v>100</v>
      </c>
      <c r="H79" s="26">
        <f>VLOOKUP('Conduite principale'!B79,'Durée de vie utile'!$C$20:$E$25,2,FALSE)</f>
        <v>80</v>
      </c>
      <c r="I79" s="25">
        <f t="shared" si="13"/>
        <v>1245.0956249999999</v>
      </c>
      <c r="J79" s="25">
        <f>(F79/(1+'Autres hypothèses'!$D$5))*('Autres hypothèses'!$D$5/(((1+'Autres hypothèses'!$D$5)^'Conduite principale'!H79-1)))</f>
        <v>810.554797456919</v>
      </c>
      <c r="K79" s="26">
        <v>1972</v>
      </c>
      <c r="L79" s="22">
        <f t="shared" si="8"/>
        <v>50</v>
      </c>
      <c r="M79" s="1">
        <f t="shared" si="9"/>
        <v>0.625</v>
      </c>
      <c r="N79" s="3">
        <f t="shared" si="10"/>
        <v>62254.78125</v>
      </c>
      <c r="O79" s="3">
        <f t="shared" si="11"/>
        <v>37352.868749999994</v>
      </c>
      <c r="P79">
        <f t="shared" si="14"/>
        <v>2052</v>
      </c>
      <c r="Q79">
        <f t="shared" si="15"/>
        <v>2132</v>
      </c>
    </row>
    <row r="80" spans="1:17" x14ac:dyDescent="0.25">
      <c r="A80" s="15" t="s">
        <v>241</v>
      </c>
      <c r="B80" s="5" t="s">
        <v>2719</v>
      </c>
      <c r="C80" s="5">
        <v>200</v>
      </c>
      <c r="D80" s="21">
        <v>42.5</v>
      </c>
      <c r="E80" s="24">
        <f>VLOOKUP(C80,'Taux unitaires'!H:I,2,FALSE)</f>
        <v>1441.5</v>
      </c>
      <c r="F80" s="25">
        <f t="shared" si="12"/>
        <v>61263.75</v>
      </c>
      <c r="G80" s="26">
        <f>VLOOKUP(B80,'Durée de vie utile'!$C$20:$E$25,3,FALSE)</f>
        <v>100</v>
      </c>
      <c r="H80" s="26">
        <f>VLOOKUP('Conduite principale'!B80,'Durée de vie utile'!$C$20:$E$25,2,FALSE)</f>
        <v>70</v>
      </c>
      <c r="I80" s="25">
        <f t="shared" si="13"/>
        <v>875.19642857142856</v>
      </c>
      <c r="J80" s="25">
        <f>(F80/(1+'Autres hypothèses'!$D$5))*('Autres hypothèses'!$D$5/(((1+'Autres hypothèses'!$D$5)^'Conduite principale'!H80-1)))</f>
        <v>602.49687386321273</v>
      </c>
      <c r="K80" s="26">
        <v>1972</v>
      </c>
      <c r="L80" s="22">
        <f t="shared" si="8"/>
        <v>50</v>
      </c>
      <c r="M80" s="1">
        <f t="shared" si="9"/>
        <v>0.7142857142857143</v>
      </c>
      <c r="N80" s="3">
        <f t="shared" si="10"/>
        <v>43759.821428571428</v>
      </c>
      <c r="O80" s="3">
        <f t="shared" si="11"/>
        <v>17503.928571428572</v>
      </c>
      <c r="P80">
        <f t="shared" si="14"/>
        <v>2042</v>
      </c>
      <c r="Q80">
        <f t="shared" si="15"/>
        <v>2112</v>
      </c>
    </row>
    <row r="81" spans="1:17" x14ac:dyDescent="0.25">
      <c r="A81" s="15" t="s">
        <v>242</v>
      </c>
      <c r="B81" s="5" t="s">
        <v>2720</v>
      </c>
      <c r="C81" s="5">
        <v>450</v>
      </c>
      <c r="D81" s="21">
        <v>32.700000000000003</v>
      </c>
      <c r="E81" s="24">
        <f>VLOOKUP(C81,'Taux unitaires'!H:I,2,FALSE)</f>
        <v>1581</v>
      </c>
      <c r="F81" s="25">
        <f t="shared" si="12"/>
        <v>51698.700000000004</v>
      </c>
      <c r="G81" s="26">
        <f>VLOOKUP(B81,'Durée de vie utile'!$C$20:$E$25,3,FALSE)</f>
        <v>125</v>
      </c>
      <c r="H81" s="26">
        <f>VLOOKUP('Conduite principale'!B81,'Durée de vie utile'!$C$20:$E$25,2,FALSE)</f>
        <v>90</v>
      </c>
      <c r="I81" s="25">
        <f t="shared" si="13"/>
        <v>574.43000000000006</v>
      </c>
      <c r="J81" s="25">
        <f>(F81/(1+'Autres hypothèses'!$D$5))*('Autres hypothèses'!$D$5/(((1+'Autres hypothèses'!$D$5)^'Conduite principale'!H81-1)))</f>
        <v>353.34583141022296</v>
      </c>
      <c r="K81" s="26">
        <v>1973</v>
      </c>
      <c r="L81" s="22">
        <f t="shared" si="8"/>
        <v>49</v>
      </c>
      <c r="M81" s="1">
        <f t="shared" si="9"/>
        <v>0.5444444444444444</v>
      </c>
      <c r="N81" s="3">
        <f t="shared" si="10"/>
        <v>28147.07</v>
      </c>
      <c r="O81" s="3">
        <f t="shared" si="11"/>
        <v>23551.630000000005</v>
      </c>
      <c r="P81">
        <f t="shared" si="14"/>
        <v>2063</v>
      </c>
      <c r="Q81">
        <f t="shared" si="15"/>
        <v>2153</v>
      </c>
    </row>
    <row r="82" spans="1:17" x14ac:dyDescent="0.25">
      <c r="A82" s="15" t="s">
        <v>243</v>
      </c>
      <c r="B82" s="5" t="s">
        <v>2721</v>
      </c>
      <c r="C82" s="5">
        <v>250</v>
      </c>
      <c r="D82" s="21">
        <v>41</v>
      </c>
      <c r="E82" s="24">
        <f>VLOOKUP(C82,'Taux unitaires'!H:I,2,FALSE)</f>
        <v>1488</v>
      </c>
      <c r="F82" s="25">
        <f t="shared" si="12"/>
        <v>61008</v>
      </c>
      <c r="G82" s="26">
        <f>VLOOKUP(B82,'Durée de vie utile'!$C$20:$E$25,3,FALSE)</f>
        <v>125</v>
      </c>
      <c r="H82" s="26">
        <f>VLOOKUP('Conduite principale'!B82,'Durée de vie utile'!$C$20:$E$25,2,FALSE)</f>
        <v>80</v>
      </c>
      <c r="I82" s="25">
        <f t="shared" si="13"/>
        <v>762.6</v>
      </c>
      <c r="J82" s="25">
        <f>(F82/(1+'Autres hypothèses'!$D$5))*('Autres hypothèses'!$D$5/(((1+'Autres hypothèses'!$D$5)^'Conduite principale'!H82-1)))</f>
        <v>496.4510967104606</v>
      </c>
      <c r="K82" s="26">
        <v>1973</v>
      </c>
      <c r="L82" s="22">
        <f t="shared" si="8"/>
        <v>49</v>
      </c>
      <c r="M82" s="1">
        <f t="shared" si="9"/>
        <v>0.61250000000000004</v>
      </c>
      <c r="N82" s="3">
        <f t="shared" si="10"/>
        <v>37367.4</v>
      </c>
      <c r="O82" s="3">
        <f t="shared" si="11"/>
        <v>23640.6</v>
      </c>
      <c r="P82">
        <f t="shared" si="14"/>
        <v>2053</v>
      </c>
      <c r="Q82">
        <f t="shared" si="15"/>
        <v>2133</v>
      </c>
    </row>
    <row r="83" spans="1:17" x14ac:dyDescent="0.25">
      <c r="A83" s="15" t="s">
        <v>244</v>
      </c>
      <c r="B83" s="5" t="s">
        <v>2722</v>
      </c>
      <c r="C83" s="5">
        <v>250</v>
      </c>
      <c r="D83" s="21">
        <v>74.199999999999989</v>
      </c>
      <c r="E83" s="24">
        <f>VLOOKUP(C83,'Taux unitaires'!H:I,2,FALSE)</f>
        <v>1488</v>
      </c>
      <c r="F83" s="25">
        <f t="shared" si="12"/>
        <v>110409.59999999998</v>
      </c>
      <c r="G83" s="26">
        <f>VLOOKUP(B83,'Durée de vie utile'!$C$20:$E$25,3,FALSE)</f>
        <v>100</v>
      </c>
      <c r="H83" s="26">
        <f>VLOOKUP('Conduite principale'!B83,'Durée de vie utile'!$C$20:$E$25,2,FALSE)</f>
        <v>80</v>
      </c>
      <c r="I83" s="25">
        <f t="shared" si="13"/>
        <v>1380.1199999999997</v>
      </c>
      <c r="J83" s="25">
        <f>(F83/(1+'Autres hypothèses'!$D$5))*('Autres hypothèses'!$D$5/(((1+'Autres hypothèses'!$D$5)^'Conduite principale'!H83-1)))</f>
        <v>898.45539941258949</v>
      </c>
      <c r="K83" s="26">
        <v>1973</v>
      </c>
      <c r="L83" s="22">
        <f t="shared" si="8"/>
        <v>49</v>
      </c>
      <c r="M83" s="1">
        <f t="shared" si="9"/>
        <v>0.61250000000000004</v>
      </c>
      <c r="N83" s="3">
        <f t="shared" si="10"/>
        <v>67625.87999999999</v>
      </c>
      <c r="O83" s="3">
        <f t="shared" si="11"/>
        <v>42783.719999999987</v>
      </c>
      <c r="P83">
        <f t="shared" si="14"/>
        <v>2053</v>
      </c>
      <c r="Q83">
        <f t="shared" si="15"/>
        <v>2133</v>
      </c>
    </row>
    <row r="84" spans="1:17" x14ac:dyDescent="0.25">
      <c r="A84" s="15" t="s">
        <v>245</v>
      </c>
      <c r="B84" s="5" t="s">
        <v>2723</v>
      </c>
      <c r="C84" s="5">
        <v>250</v>
      </c>
      <c r="D84" s="21">
        <v>73.599999999999994</v>
      </c>
      <c r="E84" s="24">
        <f>VLOOKUP(C84,'Taux unitaires'!H:I,2,FALSE)</f>
        <v>1488</v>
      </c>
      <c r="F84" s="25">
        <f t="shared" si="12"/>
        <v>109516.79999999999</v>
      </c>
      <c r="G84" s="26">
        <f>VLOOKUP(B84,'Durée de vie utile'!$C$20:$E$25,3,FALSE)</f>
        <v>100</v>
      </c>
      <c r="H84" s="26">
        <f>VLOOKUP('Conduite principale'!B84,'Durée de vie utile'!$C$20:$E$25,2,FALSE)</f>
        <v>80</v>
      </c>
      <c r="I84" s="25">
        <f t="shared" si="13"/>
        <v>1368.9599999999998</v>
      </c>
      <c r="J84" s="25">
        <f>(F84/(1+'Autres hypothèses'!$D$5))*('Autres hypothèses'!$D$5/(((1+'Autres hypothèses'!$D$5)^'Conduite principale'!H84-1)))</f>
        <v>891.19026141194865</v>
      </c>
      <c r="K84" s="26">
        <v>1973</v>
      </c>
      <c r="L84" s="22">
        <f t="shared" si="8"/>
        <v>49</v>
      </c>
      <c r="M84" s="1">
        <f t="shared" si="9"/>
        <v>0.61250000000000004</v>
      </c>
      <c r="N84" s="3">
        <f t="shared" si="10"/>
        <v>67079.039999999994</v>
      </c>
      <c r="O84" s="3">
        <f t="shared" si="11"/>
        <v>42437.759999999995</v>
      </c>
      <c r="P84">
        <f t="shared" si="14"/>
        <v>2053</v>
      </c>
      <c r="Q84">
        <f t="shared" si="15"/>
        <v>2133</v>
      </c>
    </row>
    <row r="85" spans="1:17" x14ac:dyDescent="0.25">
      <c r="A85" s="15" t="s">
        <v>246</v>
      </c>
      <c r="B85" s="5" t="s">
        <v>2724</v>
      </c>
      <c r="C85" s="5">
        <v>200</v>
      </c>
      <c r="D85" s="21">
        <v>71.599999999999994</v>
      </c>
      <c r="E85" s="24">
        <f>VLOOKUP(C85,'Taux unitaires'!H:I,2,FALSE)</f>
        <v>1441.5</v>
      </c>
      <c r="F85" s="25">
        <f t="shared" si="12"/>
        <v>103211.4</v>
      </c>
      <c r="G85" s="26">
        <f>VLOOKUP(B85,'Durée de vie utile'!$C$20:$E$25,3,FALSE)</f>
        <v>125</v>
      </c>
      <c r="H85" s="26">
        <f>VLOOKUP('Conduite principale'!B85,'Durée de vie utile'!$C$20:$E$25,2,FALSE)</f>
        <v>90</v>
      </c>
      <c r="I85" s="25">
        <f t="shared" si="13"/>
        <v>1146.7933333333333</v>
      </c>
      <c r="J85" s="25">
        <f>(F85/(1+'Autres hypothèses'!$D$5))*('Autres hypothèses'!$D$5/(((1+'Autres hypothèses'!$D$5)^'Conduite principale'!H85-1)))</f>
        <v>705.42040600659368</v>
      </c>
      <c r="K85" s="26">
        <v>1981</v>
      </c>
      <c r="L85" s="22">
        <f t="shared" si="8"/>
        <v>41</v>
      </c>
      <c r="M85" s="1">
        <f t="shared" si="9"/>
        <v>0.45555555555555555</v>
      </c>
      <c r="N85" s="3">
        <f t="shared" si="10"/>
        <v>47018.526666666665</v>
      </c>
      <c r="O85" s="3">
        <f t="shared" si="11"/>
        <v>56192.873333333329</v>
      </c>
      <c r="P85">
        <f t="shared" si="14"/>
        <v>2071</v>
      </c>
      <c r="Q85">
        <f t="shared" si="15"/>
        <v>2161</v>
      </c>
    </row>
    <row r="86" spans="1:17" x14ac:dyDescent="0.25">
      <c r="A86" s="15" t="s">
        <v>247</v>
      </c>
      <c r="B86" s="5" t="s">
        <v>2725</v>
      </c>
      <c r="C86" s="5">
        <v>200</v>
      </c>
      <c r="D86" s="21">
        <v>6</v>
      </c>
      <c r="E86" s="24">
        <f>VLOOKUP(C86,'Taux unitaires'!H:I,2,FALSE)</f>
        <v>1441.5</v>
      </c>
      <c r="F86" s="25">
        <f t="shared" si="12"/>
        <v>8649</v>
      </c>
      <c r="G86" s="26">
        <f>VLOOKUP(B86,'Durée de vie utile'!$C$20:$E$25,3,FALSE)</f>
        <v>125</v>
      </c>
      <c r="H86" s="26">
        <f>VLOOKUP('Conduite principale'!B86,'Durée de vie utile'!$C$20:$E$25,2,FALSE)</f>
        <v>80</v>
      </c>
      <c r="I86" s="25">
        <f t="shared" si="13"/>
        <v>108.1125</v>
      </c>
      <c r="J86" s="25">
        <f>(F86/(1+'Autres hypothèses'!$D$5))*('Autres hypothèses'!$D$5/(((1+'Autres hypothèses'!$D$5)^'Conduite principale'!H86-1)))</f>
        <v>70.381024381208604</v>
      </c>
      <c r="K86" s="26">
        <v>1973</v>
      </c>
      <c r="L86" s="22">
        <f t="shared" si="8"/>
        <v>49</v>
      </c>
      <c r="M86" s="1">
        <f t="shared" si="9"/>
        <v>0.61250000000000004</v>
      </c>
      <c r="N86" s="3">
        <f t="shared" si="10"/>
        <v>5297.5125000000007</v>
      </c>
      <c r="O86" s="3">
        <f t="shared" si="11"/>
        <v>3351.4874999999993</v>
      </c>
      <c r="P86">
        <f t="shared" si="14"/>
        <v>2053</v>
      </c>
      <c r="Q86">
        <f t="shared" si="15"/>
        <v>2133</v>
      </c>
    </row>
    <row r="87" spans="1:17" x14ac:dyDescent="0.25">
      <c r="A87" s="15" t="s">
        <v>248</v>
      </c>
      <c r="B87" s="5" t="s">
        <v>2726</v>
      </c>
      <c r="C87" s="5">
        <v>200</v>
      </c>
      <c r="D87" s="21">
        <v>9.6999999999999993</v>
      </c>
      <c r="E87" s="24">
        <f>VLOOKUP(C87,'Taux unitaires'!H:I,2,FALSE)</f>
        <v>1441.5</v>
      </c>
      <c r="F87" s="25">
        <f t="shared" si="12"/>
        <v>13982.55</v>
      </c>
      <c r="G87" s="26">
        <f>VLOOKUP(B87,'Durée de vie utile'!$C$20:$E$25,3,FALSE)</f>
        <v>125</v>
      </c>
      <c r="H87" s="26">
        <f>VLOOKUP('Conduite principale'!B87,'Durée de vie utile'!$C$20:$E$25,2,FALSE)</f>
        <v>80</v>
      </c>
      <c r="I87" s="25">
        <f t="shared" si="13"/>
        <v>174.78187499999999</v>
      </c>
      <c r="J87" s="25">
        <f>(F87/(1+'Autres hypothèses'!$D$5))*('Autres hypothèses'!$D$5/(((1+'Autres hypothèses'!$D$5)^'Conduite principale'!H87-1)))</f>
        <v>113.78265608295388</v>
      </c>
      <c r="K87" s="26">
        <v>1973</v>
      </c>
      <c r="L87" s="22">
        <f t="shared" si="8"/>
        <v>49</v>
      </c>
      <c r="M87" s="1">
        <f t="shared" si="9"/>
        <v>0.61250000000000004</v>
      </c>
      <c r="N87" s="3">
        <f t="shared" si="10"/>
        <v>8564.3118749999994</v>
      </c>
      <c r="O87" s="3">
        <f t="shared" si="11"/>
        <v>5418.2381249999999</v>
      </c>
      <c r="P87">
        <f t="shared" si="14"/>
        <v>2053</v>
      </c>
      <c r="Q87">
        <f t="shared" si="15"/>
        <v>2133</v>
      </c>
    </row>
    <row r="88" spans="1:17" x14ac:dyDescent="0.25">
      <c r="A88" s="15" t="s">
        <v>249</v>
      </c>
      <c r="B88" s="5" t="s">
        <v>2727</v>
      </c>
      <c r="C88" s="5">
        <v>250</v>
      </c>
      <c r="D88" s="21">
        <v>61.800000000000004</v>
      </c>
      <c r="E88" s="24">
        <f>VLOOKUP(C88,'Taux unitaires'!H:I,2,FALSE)</f>
        <v>1488</v>
      </c>
      <c r="F88" s="25">
        <f t="shared" si="12"/>
        <v>91958.400000000009</v>
      </c>
      <c r="G88" s="26">
        <f>VLOOKUP(B88,'Durée de vie utile'!$C$20:$E$25,3,FALSE)</f>
        <v>100</v>
      </c>
      <c r="H88" s="26">
        <f>VLOOKUP('Conduite principale'!B88,'Durée de vie utile'!$C$20:$E$25,2,FALSE)</f>
        <v>80</v>
      </c>
      <c r="I88" s="25">
        <f t="shared" si="13"/>
        <v>1149.48</v>
      </c>
      <c r="J88" s="25">
        <f>(F88/(1+'Autres hypothèses'!$D$5))*('Autres hypothèses'!$D$5/(((1+'Autres hypothèses'!$D$5)^'Conduite principale'!H88-1)))</f>
        <v>748.30921406601135</v>
      </c>
      <c r="K88" s="26">
        <v>1974</v>
      </c>
      <c r="L88" s="22">
        <f t="shared" si="8"/>
        <v>48</v>
      </c>
      <c r="M88" s="1">
        <f t="shared" si="9"/>
        <v>0.6</v>
      </c>
      <c r="N88" s="3">
        <f t="shared" si="10"/>
        <v>55175.040000000001</v>
      </c>
      <c r="O88" s="3">
        <f t="shared" si="11"/>
        <v>36783.360000000008</v>
      </c>
      <c r="P88">
        <f t="shared" si="14"/>
        <v>2054</v>
      </c>
      <c r="Q88">
        <f t="shared" si="15"/>
        <v>2134</v>
      </c>
    </row>
    <row r="89" spans="1:17" x14ac:dyDescent="0.25">
      <c r="A89" s="15" t="s">
        <v>250</v>
      </c>
      <c r="B89" s="5" t="s">
        <v>2728</v>
      </c>
      <c r="C89" s="5">
        <v>200</v>
      </c>
      <c r="D89" s="21">
        <v>33.200000000000003</v>
      </c>
      <c r="E89" s="24">
        <f>VLOOKUP(C89,'Taux unitaires'!H:I,2,FALSE)</f>
        <v>1441.5</v>
      </c>
      <c r="F89" s="25">
        <f t="shared" si="12"/>
        <v>47857.8</v>
      </c>
      <c r="G89" s="26">
        <f>VLOOKUP(B89,'Durée de vie utile'!$C$20:$E$25,3,FALSE)</f>
        <v>100</v>
      </c>
      <c r="H89" s="26">
        <f>VLOOKUP('Conduite principale'!B89,'Durée de vie utile'!$C$20:$E$25,2,FALSE)</f>
        <v>80</v>
      </c>
      <c r="I89" s="25">
        <f t="shared" si="13"/>
        <v>598.22250000000008</v>
      </c>
      <c r="J89" s="25">
        <f>(F89/(1+'Autres hypothèses'!$D$5))*('Autres hypothèses'!$D$5/(((1+'Autres hypothèses'!$D$5)^'Conduite principale'!H89-1)))</f>
        <v>389.44166824268757</v>
      </c>
      <c r="K89" s="26">
        <v>1975</v>
      </c>
      <c r="L89" s="22">
        <f t="shared" si="8"/>
        <v>47</v>
      </c>
      <c r="M89" s="1">
        <f t="shared" si="9"/>
        <v>0.58750000000000002</v>
      </c>
      <c r="N89" s="3">
        <f t="shared" si="10"/>
        <v>28116.457500000004</v>
      </c>
      <c r="O89" s="3">
        <f t="shared" si="11"/>
        <v>19741.342499999999</v>
      </c>
      <c r="P89">
        <f t="shared" si="14"/>
        <v>2055</v>
      </c>
      <c r="Q89">
        <f t="shared" si="15"/>
        <v>2135</v>
      </c>
    </row>
    <row r="90" spans="1:17" x14ac:dyDescent="0.25">
      <c r="A90" s="15" t="s">
        <v>251</v>
      </c>
      <c r="B90" s="5" t="s">
        <v>2729</v>
      </c>
      <c r="C90" s="5">
        <v>450</v>
      </c>
      <c r="D90" s="21">
        <v>81.8</v>
      </c>
      <c r="E90" s="24">
        <f>VLOOKUP(C90,'Taux unitaires'!H:I,2,FALSE)</f>
        <v>1581</v>
      </c>
      <c r="F90" s="25">
        <f t="shared" si="12"/>
        <v>129325.79999999999</v>
      </c>
      <c r="G90" s="26">
        <f>VLOOKUP(B90,'Durée de vie utile'!$C$20:$E$25,3,FALSE)</f>
        <v>125</v>
      </c>
      <c r="H90" s="26">
        <f>VLOOKUP('Conduite principale'!B90,'Durée de vie utile'!$C$20:$E$25,2,FALSE)</f>
        <v>90</v>
      </c>
      <c r="I90" s="25">
        <f t="shared" si="13"/>
        <v>1436.9533333333331</v>
      </c>
      <c r="J90" s="25">
        <f>(F90/(1+'Autres hypothèses'!$D$5))*('Autres hypothèses'!$D$5/(((1+'Autres hypothèses'!$D$5)^'Conduite principale'!H90-1)))</f>
        <v>883.90486267144445</v>
      </c>
      <c r="K90" s="26">
        <v>1976</v>
      </c>
      <c r="L90" s="22">
        <f t="shared" si="8"/>
        <v>46</v>
      </c>
      <c r="M90" s="1">
        <f t="shared" si="9"/>
        <v>0.51111111111111107</v>
      </c>
      <c r="N90" s="3">
        <f t="shared" si="10"/>
        <v>66099.853333333318</v>
      </c>
      <c r="O90" s="3">
        <f t="shared" si="11"/>
        <v>63225.94666666667</v>
      </c>
      <c r="P90">
        <f t="shared" si="14"/>
        <v>2066</v>
      </c>
      <c r="Q90">
        <f t="shared" si="15"/>
        <v>2156</v>
      </c>
    </row>
    <row r="91" spans="1:17" x14ac:dyDescent="0.25">
      <c r="A91" s="15" t="s">
        <v>252</v>
      </c>
      <c r="B91" s="5" t="s">
        <v>2730</v>
      </c>
      <c r="C91" s="5">
        <v>250</v>
      </c>
      <c r="D91" s="21">
        <v>41.1</v>
      </c>
      <c r="E91" s="24">
        <f>VLOOKUP(C91,'Taux unitaires'!H:I,2,FALSE)</f>
        <v>1488</v>
      </c>
      <c r="F91" s="25">
        <f t="shared" si="12"/>
        <v>61156.800000000003</v>
      </c>
      <c r="G91" s="26">
        <f>VLOOKUP(B91,'Durée de vie utile'!$C$20:$E$25,3,FALSE)</f>
        <v>100</v>
      </c>
      <c r="H91" s="26">
        <f>VLOOKUP('Conduite principale'!B91,'Durée de vie utile'!$C$20:$E$25,2,FALSE)</f>
        <v>80</v>
      </c>
      <c r="I91" s="25">
        <f t="shared" si="13"/>
        <v>764.46</v>
      </c>
      <c r="J91" s="25">
        <f>(F91/(1+'Autres hypothèses'!$D$5))*('Autres hypothèses'!$D$5/(((1+'Autres hypothèses'!$D$5)^'Conduite principale'!H91-1)))</f>
        <v>497.66195304390078</v>
      </c>
      <c r="K91" s="26">
        <v>1981</v>
      </c>
      <c r="L91" s="22">
        <f t="shared" si="8"/>
        <v>41</v>
      </c>
      <c r="M91" s="1">
        <f t="shared" si="9"/>
        <v>0.51249999999999996</v>
      </c>
      <c r="N91" s="3">
        <f t="shared" si="10"/>
        <v>31342.86</v>
      </c>
      <c r="O91" s="3">
        <f t="shared" si="11"/>
        <v>29813.940000000002</v>
      </c>
      <c r="P91">
        <f t="shared" si="14"/>
        <v>2061</v>
      </c>
      <c r="Q91">
        <f t="shared" si="15"/>
        <v>2141</v>
      </c>
    </row>
    <row r="92" spans="1:17" x14ac:dyDescent="0.25">
      <c r="A92" s="15" t="s">
        <v>253</v>
      </c>
      <c r="B92" s="5" t="s">
        <v>2731</v>
      </c>
      <c r="C92" s="5">
        <v>250</v>
      </c>
      <c r="D92" s="21">
        <v>54.300000000000004</v>
      </c>
      <c r="E92" s="24">
        <f>VLOOKUP(C92,'Taux unitaires'!H:I,2,FALSE)</f>
        <v>1488</v>
      </c>
      <c r="F92" s="25">
        <f t="shared" si="12"/>
        <v>80798.400000000009</v>
      </c>
      <c r="G92" s="26">
        <f>VLOOKUP(B92,'Durée de vie utile'!$C$20:$E$25,3,FALSE)</f>
        <v>125</v>
      </c>
      <c r="H92" s="26">
        <f>VLOOKUP('Conduite principale'!B92,'Durée de vie utile'!$C$20:$E$25,2,FALSE)</f>
        <v>80</v>
      </c>
      <c r="I92" s="25">
        <f t="shared" si="13"/>
        <v>1009.9800000000001</v>
      </c>
      <c r="J92" s="25">
        <f>(F92/(1+'Autres hypothèses'!$D$5))*('Autres hypothèses'!$D$5/(((1+'Autres hypothèses'!$D$5)^'Conduite principale'!H92-1)))</f>
        <v>657.49498905800033</v>
      </c>
      <c r="K92" s="26">
        <v>1976</v>
      </c>
      <c r="L92" s="22">
        <f t="shared" si="8"/>
        <v>46</v>
      </c>
      <c r="M92" s="1">
        <f t="shared" si="9"/>
        <v>0.57499999999999996</v>
      </c>
      <c r="N92" s="3">
        <f t="shared" si="10"/>
        <v>46459.08</v>
      </c>
      <c r="O92" s="3">
        <f t="shared" si="11"/>
        <v>34339.320000000007</v>
      </c>
      <c r="P92">
        <f t="shared" si="14"/>
        <v>2056</v>
      </c>
      <c r="Q92">
        <f t="shared" si="15"/>
        <v>2136</v>
      </c>
    </row>
    <row r="93" spans="1:17" x14ac:dyDescent="0.25">
      <c r="A93" s="15" t="s">
        <v>254</v>
      </c>
      <c r="B93" s="5" t="s">
        <v>2732</v>
      </c>
      <c r="C93" s="5">
        <v>450</v>
      </c>
      <c r="D93" s="21">
        <v>37.9</v>
      </c>
      <c r="E93" s="24">
        <f>VLOOKUP(C93,'Taux unitaires'!H:I,2,FALSE)</f>
        <v>1581</v>
      </c>
      <c r="F93" s="25">
        <f t="shared" si="12"/>
        <v>59919.899999999994</v>
      </c>
      <c r="G93" s="26">
        <f>VLOOKUP(B93,'Durée de vie utile'!$C$20:$E$25,3,FALSE)</f>
        <v>125</v>
      </c>
      <c r="H93" s="26">
        <f>VLOOKUP('Conduite principale'!B93,'Durée de vie utile'!$C$20:$E$25,2,FALSE)</f>
        <v>90</v>
      </c>
      <c r="I93" s="25">
        <f t="shared" si="13"/>
        <v>665.77666666666664</v>
      </c>
      <c r="J93" s="25">
        <f>(F93/(1+'Autres hypothèses'!$D$5))*('Autres hypothèses'!$D$5/(((1+'Autres hypothèses'!$D$5)^'Conduite principale'!H93-1)))</f>
        <v>409.5353825824908</v>
      </c>
      <c r="K93" s="26">
        <v>1981</v>
      </c>
      <c r="L93" s="22">
        <f t="shared" si="8"/>
        <v>41</v>
      </c>
      <c r="M93" s="1">
        <f t="shared" si="9"/>
        <v>0.45555555555555555</v>
      </c>
      <c r="N93" s="3">
        <f t="shared" si="10"/>
        <v>27296.843333333331</v>
      </c>
      <c r="O93" s="3">
        <f t="shared" si="11"/>
        <v>32623.056666666664</v>
      </c>
      <c r="P93">
        <f t="shared" si="14"/>
        <v>2071</v>
      </c>
      <c r="Q93">
        <f t="shared" si="15"/>
        <v>2161</v>
      </c>
    </row>
    <row r="94" spans="1:17" x14ac:dyDescent="0.25">
      <c r="A94" s="15" t="s">
        <v>255</v>
      </c>
      <c r="B94" s="5" t="s">
        <v>2733</v>
      </c>
      <c r="C94" s="5">
        <v>450</v>
      </c>
      <c r="D94" s="21">
        <v>95</v>
      </c>
      <c r="E94" s="24">
        <f>VLOOKUP(C94,'Taux unitaires'!H:I,2,FALSE)</f>
        <v>1581</v>
      </c>
      <c r="F94" s="25">
        <f t="shared" si="12"/>
        <v>150195</v>
      </c>
      <c r="G94" s="26">
        <f>VLOOKUP(B94,'Durée de vie utile'!$C$20:$E$25,3,FALSE)</f>
        <v>125</v>
      </c>
      <c r="H94" s="26">
        <f>VLOOKUP('Conduite principale'!B94,'Durée de vie utile'!$C$20:$E$25,2,FALSE)</f>
        <v>80</v>
      </c>
      <c r="I94" s="25">
        <f t="shared" si="13"/>
        <v>1877.4375</v>
      </c>
      <c r="J94" s="25">
        <f>(F94/(1+'Autres hypothèses'!$D$5))*('Autres hypothèses'!$D$5/(((1+'Autres hypothèses'!$D$5)^'Conduite principale'!H94-1)))</f>
        <v>1222.2081115661492</v>
      </c>
      <c r="K94" s="26">
        <v>1976</v>
      </c>
      <c r="L94" s="22">
        <f t="shared" si="8"/>
        <v>46</v>
      </c>
      <c r="M94" s="1">
        <f t="shared" si="9"/>
        <v>0.57499999999999996</v>
      </c>
      <c r="N94" s="3">
        <f t="shared" si="10"/>
        <v>86362.125</v>
      </c>
      <c r="O94" s="3">
        <f t="shared" si="11"/>
        <v>63832.875</v>
      </c>
      <c r="P94">
        <f t="shared" si="14"/>
        <v>2056</v>
      </c>
      <c r="Q94">
        <f t="shared" si="15"/>
        <v>2136</v>
      </c>
    </row>
    <row r="95" spans="1:17" x14ac:dyDescent="0.25">
      <c r="A95" s="15" t="s">
        <v>256</v>
      </c>
      <c r="B95" s="5" t="s">
        <v>2734</v>
      </c>
      <c r="C95" s="5">
        <v>450</v>
      </c>
      <c r="D95" s="21">
        <v>55.5</v>
      </c>
      <c r="E95" s="24">
        <f>VLOOKUP(C95,'Taux unitaires'!H:I,2,FALSE)</f>
        <v>1581</v>
      </c>
      <c r="F95" s="25">
        <f t="shared" si="12"/>
        <v>87745.5</v>
      </c>
      <c r="G95" s="26">
        <f>VLOOKUP(B95,'Durée de vie utile'!$C$20:$E$25,3,FALSE)</f>
        <v>125</v>
      </c>
      <c r="H95" s="26">
        <f>VLOOKUP('Conduite principale'!B95,'Durée de vie utile'!$C$20:$E$25,2,FALSE)</f>
        <v>90</v>
      </c>
      <c r="I95" s="25">
        <f t="shared" si="13"/>
        <v>974.95</v>
      </c>
      <c r="J95" s="25">
        <f>(F95/(1+'Autres hypothèses'!$D$5))*('Autres hypothèses'!$D$5/(((1+'Autres hypothèses'!$D$5)^'Conduite principale'!H95-1)))</f>
        <v>599.71540193478211</v>
      </c>
      <c r="K95" s="26">
        <v>1976</v>
      </c>
      <c r="L95" s="22">
        <f t="shared" si="8"/>
        <v>46</v>
      </c>
      <c r="M95" s="1">
        <f t="shared" si="9"/>
        <v>0.51111111111111107</v>
      </c>
      <c r="N95" s="3">
        <f t="shared" si="10"/>
        <v>44847.7</v>
      </c>
      <c r="O95" s="3">
        <f t="shared" si="11"/>
        <v>42897.8</v>
      </c>
      <c r="P95">
        <f t="shared" si="14"/>
        <v>2066</v>
      </c>
      <c r="Q95">
        <f t="shared" si="15"/>
        <v>2156</v>
      </c>
    </row>
    <row r="96" spans="1:17" x14ac:dyDescent="0.25">
      <c r="A96" s="15" t="s">
        <v>257</v>
      </c>
      <c r="B96" s="5" t="s">
        <v>2735</v>
      </c>
      <c r="C96" s="5">
        <v>450</v>
      </c>
      <c r="D96" s="21">
        <v>20.900000000000002</v>
      </c>
      <c r="E96" s="24">
        <f>VLOOKUP(C96,'Taux unitaires'!H:I,2,FALSE)</f>
        <v>1581</v>
      </c>
      <c r="F96" s="25">
        <f t="shared" si="12"/>
        <v>33042.9</v>
      </c>
      <c r="G96" s="26">
        <f>VLOOKUP(B96,'Durée de vie utile'!$C$20:$E$25,3,FALSE)</f>
        <v>100</v>
      </c>
      <c r="H96" s="26">
        <f>VLOOKUP('Conduite principale'!B96,'Durée de vie utile'!$C$20:$E$25,2,FALSE)</f>
        <v>80</v>
      </c>
      <c r="I96" s="25">
        <f t="shared" si="13"/>
        <v>413.03625</v>
      </c>
      <c r="J96" s="25">
        <f>(F96/(1+'Autres hypothèses'!$D$5))*('Autres hypothèses'!$D$5/(((1+'Autres hypothèses'!$D$5)^'Conduite principale'!H96-1)))</f>
        <v>268.88578454455285</v>
      </c>
      <c r="K96" s="26">
        <v>1976</v>
      </c>
      <c r="L96" s="22">
        <f t="shared" si="8"/>
        <v>46</v>
      </c>
      <c r="M96" s="1">
        <f t="shared" si="9"/>
        <v>0.57499999999999996</v>
      </c>
      <c r="N96" s="3">
        <f t="shared" si="10"/>
        <v>18999.6675</v>
      </c>
      <c r="O96" s="3">
        <f t="shared" si="11"/>
        <v>14043.232500000002</v>
      </c>
      <c r="P96">
        <f t="shared" si="14"/>
        <v>2056</v>
      </c>
      <c r="Q96">
        <f t="shared" si="15"/>
        <v>2136</v>
      </c>
    </row>
    <row r="97" spans="1:17" x14ac:dyDescent="0.25">
      <c r="A97" s="15" t="s">
        <v>258</v>
      </c>
      <c r="B97" s="5" t="s">
        <v>2736</v>
      </c>
      <c r="C97" s="5">
        <v>450</v>
      </c>
      <c r="D97" s="21">
        <v>69.699999999999989</v>
      </c>
      <c r="E97" s="24">
        <f>VLOOKUP(C97,'Taux unitaires'!H:I,2,FALSE)</f>
        <v>1581</v>
      </c>
      <c r="F97" s="25">
        <f t="shared" si="12"/>
        <v>110195.69999999998</v>
      </c>
      <c r="G97" s="26">
        <f>VLOOKUP(B97,'Durée de vie utile'!$C$20:$E$25,3,FALSE)</f>
        <v>125</v>
      </c>
      <c r="H97" s="26">
        <f>VLOOKUP('Conduite principale'!B97,'Durée de vie utile'!$C$20:$E$25,2,FALSE)</f>
        <v>80</v>
      </c>
      <c r="I97" s="25">
        <f t="shared" si="13"/>
        <v>1377.4462499999997</v>
      </c>
      <c r="J97" s="25">
        <f>(F97/(1+'Autres hypothèses'!$D$5))*('Autres hypothèses'!$D$5/(((1+'Autres hypothèses'!$D$5)^'Conduite principale'!H97-1)))</f>
        <v>896.71479343326939</v>
      </c>
      <c r="K97" s="26">
        <v>1976</v>
      </c>
      <c r="L97" s="22">
        <f t="shared" si="8"/>
        <v>46</v>
      </c>
      <c r="M97" s="1">
        <f t="shared" si="9"/>
        <v>0.57499999999999996</v>
      </c>
      <c r="N97" s="3">
        <f t="shared" si="10"/>
        <v>63362.527499999982</v>
      </c>
      <c r="O97" s="3">
        <f t="shared" si="11"/>
        <v>46833.172500000001</v>
      </c>
      <c r="P97">
        <f t="shared" si="14"/>
        <v>2056</v>
      </c>
      <c r="Q97">
        <f t="shared" si="15"/>
        <v>2136</v>
      </c>
    </row>
    <row r="98" spans="1:17" x14ac:dyDescent="0.25">
      <c r="A98" s="15" t="s">
        <v>259</v>
      </c>
      <c r="B98" s="5" t="s">
        <v>2737</v>
      </c>
      <c r="C98" s="5">
        <v>375</v>
      </c>
      <c r="D98" s="21">
        <v>82</v>
      </c>
      <c r="E98" s="24">
        <f>VLOOKUP(C98,'Taux unitaires'!H:I,2,FALSE)</f>
        <v>1534.5</v>
      </c>
      <c r="F98" s="25">
        <f t="shared" si="12"/>
        <v>125829</v>
      </c>
      <c r="G98" s="26">
        <f>VLOOKUP(B98,'Durée de vie utile'!$C$20:$E$25,3,FALSE)</f>
        <v>125</v>
      </c>
      <c r="H98" s="26">
        <f>VLOOKUP('Conduite principale'!B98,'Durée de vie utile'!$C$20:$E$25,2,FALSE)</f>
        <v>80</v>
      </c>
      <c r="I98" s="25">
        <f t="shared" si="13"/>
        <v>1572.8625</v>
      </c>
      <c r="J98" s="25">
        <f>(F98/(1+'Autres hypothèses'!$D$5))*('Autres hypothèses'!$D$5/(((1+'Autres hypothèses'!$D$5)^'Conduite principale'!H98-1)))</f>
        <v>1023.9303869653249</v>
      </c>
      <c r="K98" s="26">
        <v>1974</v>
      </c>
      <c r="L98" s="22">
        <f t="shared" si="8"/>
        <v>48</v>
      </c>
      <c r="M98" s="1">
        <f t="shared" si="9"/>
        <v>0.6</v>
      </c>
      <c r="N98" s="3">
        <f t="shared" si="10"/>
        <v>75497.399999999994</v>
      </c>
      <c r="O98" s="3">
        <f t="shared" si="11"/>
        <v>50331.600000000006</v>
      </c>
      <c r="P98">
        <f t="shared" si="14"/>
        <v>2054</v>
      </c>
      <c r="Q98">
        <f t="shared" si="15"/>
        <v>2134</v>
      </c>
    </row>
    <row r="99" spans="1:17" x14ac:dyDescent="0.25">
      <c r="A99" s="15" t="s">
        <v>260</v>
      </c>
      <c r="B99" s="5" t="s">
        <v>2738</v>
      </c>
      <c r="C99" s="5">
        <v>375</v>
      </c>
      <c r="D99" s="21">
        <v>68.099999999999994</v>
      </c>
      <c r="E99" s="24">
        <f>VLOOKUP(C99,'Taux unitaires'!H:I,2,FALSE)</f>
        <v>1534.5</v>
      </c>
      <c r="F99" s="25">
        <f t="shared" si="12"/>
        <v>104499.45</v>
      </c>
      <c r="G99" s="26">
        <f>VLOOKUP(B99,'Durée de vie utile'!$C$20:$E$25,3,FALSE)</f>
        <v>125</v>
      </c>
      <c r="H99" s="26">
        <f>VLOOKUP('Conduite principale'!B99,'Durée de vie utile'!$C$20:$E$25,2,FALSE)</f>
        <v>90</v>
      </c>
      <c r="I99" s="25">
        <f t="shared" si="13"/>
        <v>1161.105</v>
      </c>
      <c r="J99" s="25">
        <f>(F99/(1+'Autres hypothèses'!$D$5))*('Autres hypothèses'!$D$5/(((1+'Autres hypothèses'!$D$5)^'Conduite principale'!H99-1)))</f>
        <v>714.22385944252028</v>
      </c>
      <c r="K99" s="26">
        <v>1981</v>
      </c>
      <c r="L99" s="22">
        <f t="shared" si="8"/>
        <v>41</v>
      </c>
      <c r="M99" s="1">
        <f t="shared" si="9"/>
        <v>0.45555555555555555</v>
      </c>
      <c r="N99" s="3">
        <f t="shared" si="10"/>
        <v>47605.305</v>
      </c>
      <c r="O99" s="3">
        <f t="shared" si="11"/>
        <v>56894.144999999997</v>
      </c>
      <c r="P99">
        <f t="shared" si="14"/>
        <v>2071</v>
      </c>
      <c r="Q99">
        <f t="shared" si="15"/>
        <v>2161</v>
      </c>
    </row>
    <row r="100" spans="1:17" x14ac:dyDescent="0.25">
      <c r="A100" s="15" t="s">
        <v>261</v>
      </c>
      <c r="B100" s="5" t="s">
        <v>2739</v>
      </c>
      <c r="C100" s="5">
        <v>300</v>
      </c>
      <c r="D100" s="21">
        <v>51.1</v>
      </c>
      <c r="E100" s="24">
        <f>VLOOKUP(C100,'Taux unitaires'!H:I,2,FALSE)</f>
        <v>1534.5</v>
      </c>
      <c r="F100" s="25">
        <f t="shared" si="12"/>
        <v>78412.95</v>
      </c>
      <c r="G100" s="26">
        <f>VLOOKUP(B100,'Durée de vie utile'!$C$20:$E$25,3,FALSE)</f>
        <v>125</v>
      </c>
      <c r="H100" s="26">
        <f>VLOOKUP('Conduite principale'!B100,'Durée de vie utile'!$C$20:$E$25,2,FALSE)</f>
        <v>90</v>
      </c>
      <c r="I100" s="25">
        <f t="shared" si="13"/>
        <v>871.255</v>
      </c>
      <c r="J100" s="25">
        <f>(F100/(1+'Autres hypothèses'!$D$5))*('Autres hypothèses'!$D$5/(((1+'Autres hypothèses'!$D$5)^'Conduite principale'!H100-1)))</f>
        <v>535.93009129974712</v>
      </c>
      <c r="K100" s="26">
        <v>1974</v>
      </c>
      <c r="L100" s="22">
        <f t="shared" si="8"/>
        <v>48</v>
      </c>
      <c r="M100" s="1">
        <f t="shared" si="9"/>
        <v>0.53333333333333333</v>
      </c>
      <c r="N100" s="3">
        <f t="shared" si="10"/>
        <v>41820.239999999998</v>
      </c>
      <c r="O100" s="3">
        <f t="shared" si="11"/>
        <v>36592.71</v>
      </c>
      <c r="P100">
        <f t="shared" si="14"/>
        <v>2064</v>
      </c>
      <c r="Q100">
        <f t="shared" si="15"/>
        <v>2154</v>
      </c>
    </row>
    <row r="101" spans="1:17" x14ac:dyDescent="0.25">
      <c r="A101" s="15" t="s">
        <v>262</v>
      </c>
      <c r="B101" s="5" t="s">
        <v>2740</v>
      </c>
      <c r="C101" s="5">
        <v>300</v>
      </c>
      <c r="D101" s="21">
        <v>0.7</v>
      </c>
      <c r="E101" s="24">
        <f>VLOOKUP(C101,'Taux unitaires'!H:I,2,FALSE)</f>
        <v>1534.5</v>
      </c>
      <c r="F101" s="25">
        <f t="shared" si="12"/>
        <v>1074.1499999999999</v>
      </c>
      <c r="G101" s="26">
        <f>VLOOKUP(B101,'Durée de vie utile'!$C$20:$E$25,3,FALSE)</f>
        <v>125</v>
      </c>
      <c r="H101" s="26">
        <f>VLOOKUP('Conduite principale'!B101,'Durée de vie utile'!$C$20:$E$25,2,FALSE)</f>
        <v>90</v>
      </c>
      <c r="I101" s="25">
        <f t="shared" si="13"/>
        <v>11.934999999999999</v>
      </c>
      <c r="J101" s="25">
        <f>(F101/(1+'Autres hypothèses'!$D$5))*('Autres hypothèses'!$D$5/(((1+'Autres hypothèses'!$D$5)^'Conduite principale'!H101-1)))</f>
        <v>7.3415080999965374</v>
      </c>
      <c r="K101" s="26">
        <v>1981</v>
      </c>
      <c r="L101" s="22">
        <f t="shared" si="8"/>
        <v>41</v>
      </c>
      <c r="M101" s="1">
        <f t="shared" si="9"/>
        <v>0.45555555555555555</v>
      </c>
      <c r="N101" s="3">
        <f t="shared" si="10"/>
        <v>489.33499999999992</v>
      </c>
      <c r="O101" s="3">
        <f t="shared" si="11"/>
        <v>584.81499999999994</v>
      </c>
      <c r="P101">
        <f t="shared" si="14"/>
        <v>2071</v>
      </c>
      <c r="Q101">
        <f t="shared" si="15"/>
        <v>2161</v>
      </c>
    </row>
    <row r="102" spans="1:17" x14ac:dyDescent="0.25">
      <c r="A102" s="15" t="s">
        <v>263</v>
      </c>
      <c r="B102" s="5" t="s">
        <v>2741</v>
      </c>
      <c r="C102" s="5">
        <v>200</v>
      </c>
      <c r="D102" s="21">
        <v>88</v>
      </c>
      <c r="E102" s="24">
        <f>VLOOKUP(C102,'Taux unitaires'!H:I,2,FALSE)</f>
        <v>1441.5</v>
      </c>
      <c r="F102" s="25">
        <f t="shared" si="12"/>
        <v>126852</v>
      </c>
      <c r="G102" s="26">
        <f>VLOOKUP(B102,'Durée de vie utile'!$C$20:$E$25,3,FALSE)</f>
        <v>125</v>
      </c>
      <c r="H102" s="26">
        <f>VLOOKUP('Conduite principale'!B102,'Durée de vie utile'!$C$20:$E$25,2,FALSE)</f>
        <v>90</v>
      </c>
      <c r="I102" s="25">
        <f t="shared" si="13"/>
        <v>1409.4666666666667</v>
      </c>
      <c r="J102" s="25">
        <f>(F102/(1+'Autres hypothèses'!$D$5))*('Autres hypothèses'!$D$5/(((1+'Autres hypothèses'!$D$5)^'Conduite principale'!H102-1)))</f>
        <v>866.99714704721009</v>
      </c>
      <c r="K102" s="26">
        <v>1974</v>
      </c>
      <c r="L102" s="22">
        <f t="shared" si="8"/>
        <v>48</v>
      </c>
      <c r="M102" s="1">
        <f t="shared" si="9"/>
        <v>0.53333333333333333</v>
      </c>
      <c r="N102" s="3">
        <f t="shared" si="10"/>
        <v>67654.399999999994</v>
      </c>
      <c r="O102" s="3">
        <f t="shared" si="11"/>
        <v>59197.600000000006</v>
      </c>
      <c r="P102">
        <f t="shared" si="14"/>
        <v>2064</v>
      </c>
      <c r="Q102">
        <f t="shared" si="15"/>
        <v>2154</v>
      </c>
    </row>
    <row r="103" spans="1:17" x14ac:dyDescent="0.25">
      <c r="A103" s="15" t="s">
        <v>264</v>
      </c>
      <c r="B103" s="5" t="s">
        <v>2742</v>
      </c>
      <c r="C103" s="5">
        <v>200</v>
      </c>
      <c r="D103" s="21">
        <v>21.8</v>
      </c>
      <c r="E103" s="24">
        <f>VLOOKUP(C103,'Taux unitaires'!H:I,2,FALSE)</f>
        <v>1441.5</v>
      </c>
      <c r="F103" s="25">
        <f t="shared" si="12"/>
        <v>31424.7</v>
      </c>
      <c r="G103" s="26">
        <f>VLOOKUP(B103,'Durée de vie utile'!$C$20:$E$25,3,FALSE)</f>
        <v>100</v>
      </c>
      <c r="H103" s="26">
        <f>VLOOKUP('Conduite principale'!B103,'Durée de vie utile'!$C$20:$E$25,2,FALSE)</f>
        <v>80</v>
      </c>
      <c r="I103" s="25">
        <f t="shared" si="13"/>
        <v>392.80875000000003</v>
      </c>
      <c r="J103" s="25">
        <f>(F103/(1+'Autres hypothèses'!$D$5))*('Autres hypothèses'!$D$5/(((1+'Autres hypothèses'!$D$5)^'Conduite principale'!H103-1)))</f>
        <v>255.71772191839122</v>
      </c>
      <c r="K103" s="26">
        <v>1974</v>
      </c>
      <c r="L103" s="22">
        <f t="shared" si="8"/>
        <v>48</v>
      </c>
      <c r="M103" s="1">
        <f t="shared" si="9"/>
        <v>0.6</v>
      </c>
      <c r="N103" s="3">
        <f t="shared" si="10"/>
        <v>18854.82</v>
      </c>
      <c r="O103" s="3">
        <f t="shared" si="11"/>
        <v>12569.880000000001</v>
      </c>
      <c r="P103">
        <f t="shared" si="14"/>
        <v>2054</v>
      </c>
      <c r="Q103">
        <f t="shared" si="15"/>
        <v>2134</v>
      </c>
    </row>
    <row r="104" spans="1:17" x14ac:dyDescent="0.25">
      <c r="A104" s="15" t="s">
        <v>265</v>
      </c>
      <c r="B104" s="5" t="s">
        <v>2743</v>
      </c>
      <c r="C104" s="5">
        <v>200</v>
      </c>
      <c r="D104" s="21">
        <v>69.699999999999989</v>
      </c>
      <c r="E104" s="24">
        <f>VLOOKUP(C104,'Taux unitaires'!H:I,2,FALSE)</f>
        <v>1441.5</v>
      </c>
      <c r="F104" s="25">
        <f t="shared" si="12"/>
        <v>100472.54999999999</v>
      </c>
      <c r="G104" s="26">
        <f>VLOOKUP(B104,'Durée de vie utile'!$C$20:$E$25,3,FALSE)</f>
        <v>100</v>
      </c>
      <c r="H104" s="26">
        <f>VLOOKUP('Conduite principale'!B104,'Durée de vie utile'!$C$20:$E$25,2,FALSE)</f>
        <v>70</v>
      </c>
      <c r="I104" s="25">
        <f t="shared" si="13"/>
        <v>1435.3221428571426</v>
      </c>
      <c r="J104" s="25">
        <f>(F104/(1+'Autres hypothèses'!$D$5))*('Autres hypothèses'!$D$5/(((1+'Autres hypothèses'!$D$5)^'Conduite principale'!H104-1)))</f>
        <v>988.09487313566865</v>
      </c>
      <c r="K104" s="26">
        <v>1982</v>
      </c>
      <c r="L104" s="22">
        <f t="shared" si="8"/>
        <v>40</v>
      </c>
      <c r="M104" s="1">
        <f t="shared" si="9"/>
        <v>0.5714285714285714</v>
      </c>
      <c r="N104" s="3">
        <f t="shared" si="10"/>
        <v>57412.885714285701</v>
      </c>
      <c r="O104" s="3">
        <f t="shared" si="11"/>
        <v>43059.664285714287</v>
      </c>
      <c r="P104">
        <f t="shared" si="14"/>
        <v>2052</v>
      </c>
      <c r="Q104">
        <f t="shared" si="15"/>
        <v>2122</v>
      </c>
    </row>
    <row r="105" spans="1:17" x14ac:dyDescent="0.25">
      <c r="A105" s="15" t="s">
        <v>266</v>
      </c>
      <c r="B105" s="5" t="s">
        <v>2744</v>
      </c>
      <c r="C105" s="5">
        <v>250</v>
      </c>
      <c r="D105" s="21">
        <v>9.7999999999999989</v>
      </c>
      <c r="E105" s="24">
        <f>VLOOKUP(C105,'Taux unitaires'!H:I,2,FALSE)</f>
        <v>1488</v>
      </c>
      <c r="F105" s="25">
        <f t="shared" si="12"/>
        <v>14582.399999999998</v>
      </c>
      <c r="G105" s="26">
        <f>VLOOKUP(B105,'Durée de vie utile'!$C$20:$E$25,3,FALSE)</f>
        <v>125</v>
      </c>
      <c r="H105" s="26">
        <f>VLOOKUP('Conduite principale'!B105,'Durée de vie utile'!$C$20:$E$25,2,FALSE)</f>
        <v>90</v>
      </c>
      <c r="I105" s="25">
        <f t="shared" si="13"/>
        <v>162.02666666666664</v>
      </c>
      <c r="J105" s="25">
        <f>(F105/(1+'Autres hypothèses'!$D$5))*('Autres hypothèses'!$D$5/(((1+'Autres hypothèses'!$D$5)^'Conduite principale'!H105-1)))</f>
        <v>99.66653420601358</v>
      </c>
      <c r="K105" s="26">
        <v>1982</v>
      </c>
      <c r="L105" s="22">
        <f t="shared" si="8"/>
        <v>40</v>
      </c>
      <c r="M105" s="1">
        <f t="shared" si="9"/>
        <v>0.44444444444444442</v>
      </c>
      <c r="N105" s="3">
        <f t="shared" si="10"/>
        <v>6481.0666666666657</v>
      </c>
      <c r="O105" s="3">
        <f t="shared" si="11"/>
        <v>8101.3333333333321</v>
      </c>
      <c r="P105">
        <f t="shared" si="14"/>
        <v>2072</v>
      </c>
      <c r="Q105">
        <f t="shared" si="15"/>
        <v>2162</v>
      </c>
    </row>
    <row r="106" spans="1:17" x14ac:dyDescent="0.25">
      <c r="A106" s="15" t="s">
        <v>267</v>
      </c>
      <c r="B106" s="5" t="s">
        <v>2745</v>
      </c>
      <c r="C106" s="5">
        <v>250</v>
      </c>
      <c r="D106" s="21">
        <v>68.699999999999989</v>
      </c>
      <c r="E106" s="24">
        <f>VLOOKUP(C106,'Taux unitaires'!H:I,2,FALSE)</f>
        <v>1488</v>
      </c>
      <c r="F106" s="25">
        <f t="shared" si="12"/>
        <v>102225.59999999998</v>
      </c>
      <c r="G106" s="26">
        <f>VLOOKUP(B106,'Durée de vie utile'!$C$20:$E$25,3,FALSE)</f>
        <v>125</v>
      </c>
      <c r="H106" s="26">
        <f>VLOOKUP('Conduite principale'!B106,'Durée de vie utile'!$C$20:$E$25,2,FALSE)</f>
        <v>90</v>
      </c>
      <c r="I106" s="25">
        <f t="shared" si="13"/>
        <v>1135.8399999999997</v>
      </c>
      <c r="J106" s="25">
        <f>(F106/(1+'Autres hypothèses'!$D$5))*('Autres hypothèses'!$D$5/(((1+'Autres hypothèses'!$D$5)^'Conduite principale'!H106-1)))</f>
        <v>698.68274489317685</v>
      </c>
      <c r="K106" s="26">
        <v>1982</v>
      </c>
      <c r="L106" s="22">
        <f t="shared" si="8"/>
        <v>40</v>
      </c>
      <c r="M106" s="1">
        <f t="shared" si="9"/>
        <v>0.44444444444444442</v>
      </c>
      <c r="N106" s="3">
        <f t="shared" si="10"/>
        <v>45433.599999999984</v>
      </c>
      <c r="O106" s="3">
        <f t="shared" si="11"/>
        <v>56791.999999999993</v>
      </c>
      <c r="P106">
        <f t="shared" si="14"/>
        <v>2072</v>
      </c>
      <c r="Q106">
        <f t="shared" si="15"/>
        <v>2162</v>
      </c>
    </row>
    <row r="107" spans="1:17" x14ac:dyDescent="0.25">
      <c r="A107" s="15" t="s">
        <v>268</v>
      </c>
      <c r="B107" s="5" t="s">
        <v>2746</v>
      </c>
      <c r="C107" s="5">
        <v>250</v>
      </c>
      <c r="D107" s="21">
        <v>5.5</v>
      </c>
      <c r="E107" s="24">
        <f>VLOOKUP(C107,'Taux unitaires'!H:I,2,FALSE)</f>
        <v>1488</v>
      </c>
      <c r="F107" s="25">
        <f t="shared" si="12"/>
        <v>8184</v>
      </c>
      <c r="G107" s="26">
        <f>VLOOKUP(B107,'Durée de vie utile'!$C$20:$E$25,3,FALSE)</f>
        <v>125</v>
      </c>
      <c r="H107" s="26">
        <f>VLOOKUP('Conduite principale'!B107,'Durée de vie utile'!$C$20:$E$25,2,FALSE)</f>
        <v>90</v>
      </c>
      <c r="I107" s="25">
        <f t="shared" si="13"/>
        <v>90.933333333333337</v>
      </c>
      <c r="J107" s="25">
        <f>(F107/(1+'Autres hypothèses'!$D$5))*('Autres hypothèses'!$D$5/(((1+'Autres hypothèses'!$D$5)^'Conduite principale'!H107-1)))</f>
        <v>55.93529980949743</v>
      </c>
      <c r="K107" s="26">
        <v>1982</v>
      </c>
      <c r="L107" s="22">
        <f t="shared" si="8"/>
        <v>40</v>
      </c>
      <c r="M107" s="1">
        <f t="shared" si="9"/>
        <v>0.44444444444444442</v>
      </c>
      <c r="N107" s="3">
        <f t="shared" si="10"/>
        <v>3637.333333333333</v>
      </c>
      <c r="O107" s="3">
        <f t="shared" si="11"/>
        <v>4546.666666666667</v>
      </c>
      <c r="P107">
        <f t="shared" si="14"/>
        <v>2072</v>
      </c>
      <c r="Q107">
        <f t="shared" si="15"/>
        <v>2162</v>
      </c>
    </row>
    <row r="108" spans="1:17" x14ac:dyDescent="0.25">
      <c r="A108" s="15" t="s">
        <v>269</v>
      </c>
      <c r="B108" s="5" t="s">
        <v>2747</v>
      </c>
      <c r="C108" s="5">
        <v>250</v>
      </c>
      <c r="D108" s="21">
        <v>44.800000000000004</v>
      </c>
      <c r="E108" s="24">
        <f>VLOOKUP(C108,'Taux unitaires'!H:I,2,FALSE)</f>
        <v>1488</v>
      </c>
      <c r="F108" s="25">
        <f t="shared" si="12"/>
        <v>66662.400000000009</v>
      </c>
      <c r="G108" s="26">
        <f>VLOOKUP(B108,'Durée de vie utile'!$C$20:$E$25,3,FALSE)</f>
        <v>125</v>
      </c>
      <c r="H108" s="26">
        <f>VLOOKUP('Conduite principale'!B108,'Durée de vie utile'!$C$20:$E$25,2,FALSE)</f>
        <v>90</v>
      </c>
      <c r="I108" s="25">
        <f t="shared" si="13"/>
        <v>740.69333333333338</v>
      </c>
      <c r="J108" s="25">
        <f>(F108/(1+'Autres hypothèses'!$D$5))*('Autres hypothèses'!$D$5/(((1+'Autres hypothèses'!$D$5)^'Conduite principale'!H108-1)))</f>
        <v>455.61844208463367</v>
      </c>
      <c r="K108" s="26">
        <v>1982</v>
      </c>
      <c r="L108" s="22">
        <f t="shared" si="8"/>
        <v>40</v>
      </c>
      <c r="M108" s="1">
        <f t="shared" si="9"/>
        <v>0.44444444444444442</v>
      </c>
      <c r="N108" s="3">
        <f t="shared" si="10"/>
        <v>29627.733333333337</v>
      </c>
      <c r="O108" s="3">
        <f t="shared" si="11"/>
        <v>37034.666666666672</v>
      </c>
      <c r="P108">
        <f t="shared" si="14"/>
        <v>2072</v>
      </c>
      <c r="Q108">
        <f t="shared" si="15"/>
        <v>2162</v>
      </c>
    </row>
    <row r="109" spans="1:17" x14ac:dyDescent="0.25">
      <c r="A109" s="15" t="s">
        <v>270</v>
      </c>
      <c r="B109" s="5" t="s">
        <v>2748</v>
      </c>
      <c r="C109" s="5">
        <v>750</v>
      </c>
      <c r="D109" s="21">
        <v>39.1</v>
      </c>
      <c r="E109" s="24">
        <f>VLOOKUP(C109,'Taux unitaires'!H:I,2,FALSE)</f>
        <v>1767</v>
      </c>
      <c r="F109" s="25">
        <f t="shared" si="12"/>
        <v>69089.7</v>
      </c>
      <c r="G109" s="26">
        <f>VLOOKUP(B109,'Durée de vie utile'!$C$20:$E$25,3,FALSE)</f>
        <v>125</v>
      </c>
      <c r="H109" s="26">
        <f>VLOOKUP('Conduite principale'!B109,'Durée de vie utile'!$C$20:$E$25,2,FALSE)</f>
        <v>90</v>
      </c>
      <c r="I109" s="25">
        <f t="shared" si="13"/>
        <v>767.6633333333333</v>
      </c>
      <c r="J109" s="25">
        <f>(F109/(1+'Autres hypothèses'!$D$5))*('Autres hypothèses'!$D$5/(((1+'Autres hypothèses'!$D$5)^'Conduite principale'!H109-1)))</f>
        <v>472.20834350540497</v>
      </c>
      <c r="K109" s="26">
        <v>1977</v>
      </c>
      <c r="L109" s="22">
        <f t="shared" si="8"/>
        <v>45</v>
      </c>
      <c r="M109" s="1">
        <f t="shared" si="9"/>
        <v>0.5</v>
      </c>
      <c r="N109" s="3">
        <f t="shared" si="10"/>
        <v>34544.85</v>
      </c>
      <c r="O109" s="3">
        <f t="shared" si="11"/>
        <v>34544.85</v>
      </c>
      <c r="P109">
        <f t="shared" si="14"/>
        <v>2067</v>
      </c>
      <c r="Q109">
        <f t="shared" si="15"/>
        <v>2157</v>
      </c>
    </row>
    <row r="110" spans="1:17" x14ac:dyDescent="0.25">
      <c r="A110" s="15" t="s">
        <v>271</v>
      </c>
      <c r="B110" s="5" t="s">
        <v>2749</v>
      </c>
      <c r="C110" s="5">
        <v>750</v>
      </c>
      <c r="D110" s="21">
        <v>8.7999999999999989</v>
      </c>
      <c r="E110" s="24">
        <f>VLOOKUP(C110,'Taux unitaires'!H:I,2,FALSE)</f>
        <v>1767</v>
      </c>
      <c r="F110" s="25">
        <f t="shared" si="12"/>
        <v>15549.599999999999</v>
      </c>
      <c r="G110" s="26">
        <f>VLOOKUP(B110,'Durée de vie utile'!$C$20:$E$25,3,FALSE)</f>
        <v>125</v>
      </c>
      <c r="H110" s="26">
        <f>VLOOKUP('Conduite principale'!B110,'Durée de vie utile'!$C$20:$E$25,2,FALSE)</f>
        <v>80</v>
      </c>
      <c r="I110" s="25">
        <f t="shared" si="13"/>
        <v>194.36999999999998</v>
      </c>
      <c r="J110" s="25">
        <f>(F110/(1+'Autres hypothèses'!$D$5))*('Autres hypothèses'!$D$5/(((1+'Autres hypothèses'!$D$5)^'Conduite principale'!H110-1)))</f>
        <v>126.53448684449543</v>
      </c>
      <c r="K110" s="26">
        <v>1984</v>
      </c>
      <c r="L110" s="22">
        <f t="shared" si="8"/>
        <v>38</v>
      </c>
      <c r="M110" s="1">
        <f t="shared" si="9"/>
        <v>0.47499999999999998</v>
      </c>
      <c r="N110" s="3">
        <f t="shared" si="10"/>
        <v>7386.0599999999986</v>
      </c>
      <c r="O110" s="3">
        <f t="shared" si="11"/>
        <v>8163.54</v>
      </c>
      <c r="P110">
        <f t="shared" si="14"/>
        <v>2064</v>
      </c>
      <c r="Q110">
        <f t="shared" si="15"/>
        <v>2144</v>
      </c>
    </row>
    <row r="111" spans="1:17" x14ac:dyDescent="0.25">
      <c r="A111" s="15" t="s">
        <v>272</v>
      </c>
      <c r="B111" s="5" t="s">
        <v>2750</v>
      </c>
      <c r="C111" s="5">
        <v>250</v>
      </c>
      <c r="D111" s="21">
        <v>96.8</v>
      </c>
      <c r="E111" s="24">
        <f>VLOOKUP(C111,'Taux unitaires'!H:I,2,FALSE)</f>
        <v>1488</v>
      </c>
      <c r="F111" s="25">
        <f t="shared" si="12"/>
        <v>144038.39999999999</v>
      </c>
      <c r="G111" s="26">
        <f>VLOOKUP(B111,'Durée de vie utile'!$C$20:$E$25,3,FALSE)</f>
        <v>125</v>
      </c>
      <c r="H111" s="26">
        <f>VLOOKUP('Conduite principale'!B111,'Durée de vie utile'!$C$20:$E$25,2,FALSE)</f>
        <v>90</v>
      </c>
      <c r="I111" s="25">
        <f t="shared" si="13"/>
        <v>1600.4266666666665</v>
      </c>
      <c r="J111" s="25">
        <f>(F111/(1+'Autres hypothèses'!$D$5))*('Autres hypothèses'!$D$5/(((1+'Autres hypothèses'!$D$5)^'Conduite principale'!H111-1)))</f>
        <v>984.46127664715482</v>
      </c>
      <c r="K111" s="26">
        <v>1984</v>
      </c>
      <c r="L111" s="22">
        <f t="shared" si="8"/>
        <v>38</v>
      </c>
      <c r="M111" s="1">
        <f t="shared" si="9"/>
        <v>0.42222222222222222</v>
      </c>
      <c r="N111" s="3">
        <f t="shared" si="10"/>
        <v>60816.213333333333</v>
      </c>
      <c r="O111" s="3">
        <f t="shared" si="11"/>
        <v>83222.186666666661</v>
      </c>
      <c r="P111">
        <f t="shared" si="14"/>
        <v>2074</v>
      </c>
      <c r="Q111">
        <f t="shared" si="15"/>
        <v>2164</v>
      </c>
    </row>
    <row r="112" spans="1:17" x14ac:dyDescent="0.25">
      <c r="A112" s="15" t="s">
        <v>273</v>
      </c>
      <c r="B112" s="5" t="s">
        <v>2751</v>
      </c>
      <c r="C112" s="5">
        <v>250</v>
      </c>
      <c r="D112" s="21">
        <v>23.5</v>
      </c>
      <c r="E112" s="24">
        <f>VLOOKUP(C112,'Taux unitaires'!H:I,2,FALSE)</f>
        <v>1488</v>
      </c>
      <c r="F112" s="25">
        <f t="shared" si="12"/>
        <v>34968</v>
      </c>
      <c r="G112" s="26">
        <f>VLOOKUP(B112,'Durée de vie utile'!$C$20:$E$25,3,FALSE)</f>
        <v>100</v>
      </c>
      <c r="H112" s="26">
        <f>VLOOKUP('Conduite principale'!B112,'Durée de vie utile'!$C$20:$E$25,2,FALSE)</f>
        <v>70</v>
      </c>
      <c r="I112" s="25">
        <f t="shared" si="13"/>
        <v>499.54285714285714</v>
      </c>
      <c r="J112" s="25">
        <f>(F112/(1+'Autres hypothèses'!$D$5))*('Autres hypothèses'!$D$5/(((1+'Autres hypothèses'!$D$5)^'Conduite principale'!H112-1)))</f>
        <v>343.89195381034989</v>
      </c>
      <c r="K112" s="26">
        <v>1977</v>
      </c>
      <c r="L112" s="22">
        <f t="shared" si="8"/>
        <v>45</v>
      </c>
      <c r="M112" s="1">
        <f t="shared" si="9"/>
        <v>0.6428571428571429</v>
      </c>
      <c r="N112" s="3">
        <f t="shared" si="10"/>
        <v>22479.428571428572</v>
      </c>
      <c r="O112" s="3">
        <f t="shared" si="11"/>
        <v>12488.571428571428</v>
      </c>
      <c r="P112">
        <f t="shared" si="14"/>
        <v>2047</v>
      </c>
      <c r="Q112">
        <f t="shared" si="15"/>
        <v>2117</v>
      </c>
    </row>
    <row r="113" spans="1:17" x14ac:dyDescent="0.25">
      <c r="A113" s="15" t="s">
        <v>274</v>
      </c>
      <c r="B113" s="5" t="s">
        <v>2752</v>
      </c>
      <c r="C113" s="5">
        <v>200</v>
      </c>
      <c r="D113" s="21">
        <v>91.6</v>
      </c>
      <c r="E113" s="24">
        <f>VLOOKUP(C113,'Taux unitaires'!H:I,2,FALSE)</f>
        <v>1441.5</v>
      </c>
      <c r="F113" s="25">
        <f t="shared" si="12"/>
        <v>132041.4</v>
      </c>
      <c r="G113" s="26">
        <f>VLOOKUP(B113,'Durée de vie utile'!$C$20:$E$25,3,FALSE)</f>
        <v>100</v>
      </c>
      <c r="H113" s="26">
        <f>VLOOKUP('Conduite principale'!B113,'Durée de vie utile'!$C$20:$E$25,2,FALSE)</f>
        <v>70</v>
      </c>
      <c r="I113" s="25">
        <f t="shared" si="13"/>
        <v>1886.3057142857142</v>
      </c>
      <c r="J113" s="25">
        <f>(F113/(1+'Autres hypothèses'!$D$5))*('Autres hypothèses'!$D$5/(((1+'Autres hypothèses'!$D$5)^'Conduite principale'!H113-1)))</f>
        <v>1298.5579681381244</v>
      </c>
      <c r="K113" s="26">
        <v>1984</v>
      </c>
      <c r="L113" s="22">
        <f t="shared" si="8"/>
        <v>38</v>
      </c>
      <c r="M113" s="1">
        <f t="shared" si="9"/>
        <v>0.54285714285714282</v>
      </c>
      <c r="N113" s="3">
        <f t="shared" si="10"/>
        <v>71679.61714285714</v>
      </c>
      <c r="O113" s="3">
        <f t="shared" si="11"/>
        <v>60361.782857142854</v>
      </c>
      <c r="P113">
        <f t="shared" si="14"/>
        <v>2054</v>
      </c>
      <c r="Q113">
        <f t="shared" si="15"/>
        <v>2124</v>
      </c>
    </row>
    <row r="114" spans="1:17" x14ac:dyDescent="0.25">
      <c r="A114" s="15" t="s">
        <v>275</v>
      </c>
      <c r="B114" s="5" t="s">
        <v>2753</v>
      </c>
      <c r="C114" s="5">
        <v>250</v>
      </c>
      <c r="D114" s="21">
        <v>60</v>
      </c>
      <c r="E114" s="24">
        <f>VLOOKUP(C114,'Taux unitaires'!H:I,2,FALSE)</f>
        <v>1488</v>
      </c>
      <c r="F114" s="25">
        <f t="shared" si="12"/>
        <v>89280</v>
      </c>
      <c r="G114" s="26">
        <f>VLOOKUP(B114,'Durée de vie utile'!$C$20:$E$25,3,FALSE)</f>
        <v>100</v>
      </c>
      <c r="H114" s="26">
        <f>VLOOKUP('Conduite principale'!B114,'Durée de vie utile'!$C$20:$E$25,2,FALSE)</f>
        <v>70</v>
      </c>
      <c r="I114" s="25">
        <f t="shared" si="13"/>
        <v>1275.4285714285713</v>
      </c>
      <c r="J114" s="25">
        <f>(F114/(1+'Autres hypothèses'!$D$5))*('Autres hypothèses'!$D$5/(((1+'Autres hypothèses'!$D$5)^'Conduite principale'!H114-1)))</f>
        <v>878.02200972855292</v>
      </c>
      <c r="K114" s="26">
        <v>1984</v>
      </c>
      <c r="L114" s="22">
        <f t="shared" si="8"/>
        <v>38</v>
      </c>
      <c r="M114" s="1">
        <f t="shared" si="9"/>
        <v>0.54285714285714282</v>
      </c>
      <c r="N114" s="3">
        <f t="shared" si="10"/>
        <v>48466.28571428571</v>
      </c>
      <c r="O114" s="3">
        <f t="shared" si="11"/>
        <v>40813.71428571429</v>
      </c>
      <c r="P114">
        <f t="shared" si="14"/>
        <v>2054</v>
      </c>
      <c r="Q114">
        <f t="shared" si="15"/>
        <v>2124</v>
      </c>
    </row>
    <row r="115" spans="1:17" x14ac:dyDescent="0.25">
      <c r="A115" s="15" t="s">
        <v>276</v>
      </c>
      <c r="B115" s="5" t="s">
        <v>2754</v>
      </c>
      <c r="C115" s="5">
        <v>250</v>
      </c>
      <c r="D115" s="21">
        <v>44</v>
      </c>
      <c r="E115" s="24">
        <f>VLOOKUP(C115,'Taux unitaires'!H:I,2,FALSE)</f>
        <v>1488</v>
      </c>
      <c r="F115" s="25">
        <f t="shared" si="12"/>
        <v>65472</v>
      </c>
      <c r="G115" s="26">
        <f>VLOOKUP(B115,'Durée de vie utile'!$C$20:$E$25,3,FALSE)</f>
        <v>100</v>
      </c>
      <c r="H115" s="26">
        <f>VLOOKUP('Conduite principale'!B115,'Durée de vie utile'!$C$20:$E$25,2,FALSE)</f>
        <v>70</v>
      </c>
      <c r="I115" s="25">
        <f t="shared" si="13"/>
        <v>935.31428571428569</v>
      </c>
      <c r="J115" s="25">
        <f>(F115/(1+'Autres hypothèses'!$D$5))*('Autres hypothèses'!$D$5/(((1+'Autres hypothèses'!$D$5)^'Conduite principale'!H115-1)))</f>
        <v>643.88280713427207</v>
      </c>
      <c r="K115" s="26">
        <v>1977</v>
      </c>
      <c r="L115" s="22">
        <f t="shared" si="8"/>
        <v>45</v>
      </c>
      <c r="M115" s="1">
        <f t="shared" si="9"/>
        <v>0.6428571428571429</v>
      </c>
      <c r="N115" s="3">
        <f t="shared" si="10"/>
        <v>42089.142857142862</v>
      </c>
      <c r="O115" s="3">
        <f t="shared" si="11"/>
        <v>23382.857142857138</v>
      </c>
      <c r="P115">
        <f t="shared" si="14"/>
        <v>2047</v>
      </c>
      <c r="Q115">
        <f t="shared" si="15"/>
        <v>2117</v>
      </c>
    </row>
    <row r="116" spans="1:17" x14ac:dyDescent="0.25">
      <c r="A116" s="15" t="s">
        <v>277</v>
      </c>
      <c r="B116" s="5" t="s">
        <v>2755</v>
      </c>
      <c r="C116" s="5">
        <v>750</v>
      </c>
      <c r="D116" s="21">
        <v>57.6</v>
      </c>
      <c r="E116" s="24">
        <f>VLOOKUP(C116,'Taux unitaires'!H:I,2,FALSE)</f>
        <v>1767</v>
      </c>
      <c r="F116" s="25">
        <f t="shared" si="12"/>
        <v>101779.2</v>
      </c>
      <c r="G116" s="26">
        <f>VLOOKUP(B116,'Durée de vie utile'!$C$20:$E$25,3,FALSE)</f>
        <v>125</v>
      </c>
      <c r="H116" s="26">
        <f>VLOOKUP('Conduite principale'!B116,'Durée de vie utile'!$C$20:$E$25,2,FALSE)</f>
        <v>90</v>
      </c>
      <c r="I116" s="25">
        <f t="shared" si="13"/>
        <v>1130.8799999999999</v>
      </c>
      <c r="J116" s="25">
        <f>(F116/(1+'Autres hypothèses'!$D$5))*('Autres hypothèses'!$D$5/(((1+'Autres hypothèses'!$D$5)^'Conduite principale'!H116-1)))</f>
        <v>695.63172853993171</v>
      </c>
      <c r="K116" s="26">
        <v>1977</v>
      </c>
      <c r="L116" s="22">
        <f t="shared" si="8"/>
        <v>45</v>
      </c>
      <c r="M116" s="1">
        <f t="shared" si="9"/>
        <v>0.5</v>
      </c>
      <c r="N116" s="3">
        <f t="shared" si="10"/>
        <v>50889.599999999999</v>
      </c>
      <c r="O116" s="3">
        <f t="shared" si="11"/>
        <v>50889.599999999999</v>
      </c>
      <c r="P116">
        <f t="shared" si="14"/>
        <v>2067</v>
      </c>
      <c r="Q116">
        <f t="shared" si="15"/>
        <v>2157</v>
      </c>
    </row>
    <row r="117" spans="1:17" x14ac:dyDescent="0.25">
      <c r="A117" s="15" t="s">
        <v>278</v>
      </c>
      <c r="B117" s="5" t="s">
        <v>2756</v>
      </c>
      <c r="C117" s="5">
        <v>375</v>
      </c>
      <c r="D117" s="21">
        <v>23</v>
      </c>
      <c r="E117" s="24">
        <f>VLOOKUP(C117,'Taux unitaires'!H:I,2,FALSE)</f>
        <v>1534.5</v>
      </c>
      <c r="F117" s="25">
        <f t="shared" si="12"/>
        <v>35293.5</v>
      </c>
      <c r="G117" s="26">
        <f>VLOOKUP(B117,'Durée de vie utile'!$C$20:$E$25,3,FALSE)</f>
        <v>125</v>
      </c>
      <c r="H117" s="26">
        <f>VLOOKUP('Conduite principale'!B117,'Durée de vie utile'!$C$20:$E$25,2,FALSE)</f>
        <v>80</v>
      </c>
      <c r="I117" s="25">
        <f t="shared" si="13"/>
        <v>441.16874999999999</v>
      </c>
      <c r="J117" s="25">
        <f>(F117/(1+'Autres hypothèses'!$D$5))*('Autres hypothèses'!$D$5/(((1+'Autres hypothèses'!$D$5)^'Conduite principale'!H117-1)))</f>
        <v>287.19998658783504</v>
      </c>
      <c r="K117" s="26">
        <v>1977</v>
      </c>
      <c r="L117" s="22">
        <f t="shared" si="8"/>
        <v>45</v>
      </c>
      <c r="M117" s="1">
        <f t="shared" si="9"/>
        <v>0.5625</v>
      </c>
      <c r="N117" s="3">
        <f t="shared" si="10"/>
        <v>19852.59375</v>
      </c>
      <c r="O117" s="3">
        <f t="shared" si="11"/>
        <v>15440.90625</v>
      </c>
      <c r="P117">
        <f t="shared" si="14"/>
        <v>2057</v>
      </c>
      <c r="Q117">
        <f t="shared" si="15"/>
        <v>2137</v>
      </c>
    </row>
    <row r="118" spans="1:17" x14ac:dyDescent="0.25">
      <c r="A118" s="15" t="s">
        <v>279</v>
      </c>
      <c r="B118" s="5" t="s">
        <v>2757</v>
      </c>
      <c r="C118" s="5">
        <v>200</v>
      </c>
      <c r="D118" s="21">
        <v>38.300000000000004</v>
      </c>
      <c r="E118" s="24">
        <f>VLOOKUP(C118,'Taux unitaires'!H:I,2,FALSE)</f>
        <v>1441.5</v>
      </c>
      <c r="F118" s="25">
        <f t="shared" si="12"/>
        <v>55209.450000000004</v>
      </c>
      <c r="G118" s="26">
        <f>VLOOKUP(B118,'Durée de vie utile'!$C$20:$E$25,3,FALSE)</f>
        <v>125</v>
      </c>
      <c r="H118" s="26">
        <f>VLOOKUP('Conduite principale'!B118,'Durée de vie utile'!$C$20:$E$25,2,FALSE)</f>
        <v>80</v>
      </c>
      <c r="I118" s="25">
        <f t="shared" si="13"/>
        <v>690.11812500000008</v>
      </c>
      <c r="J118" s="25">
        <f>(F118/(1+'Autres hypothèses'!$D$5))*('Autres hypothèses'!$D$5/(((1+'Autres hypothèses'!$D$5)^'Conduite principale'!H118-1)))</f>
        <v>449.26553896671487</v>
      </c>
      <c r="K118" s="26">
        <v>1985</v>
      </c>
      <c r="L118" s="22">
        <f t="shared" si="8"/>
        <v>37</v>
      </c>
      <c r="M118" s="1">
        <f t="shared" si="9"/>
        <v>0.46250000000000002</v>
      </c>
      <c r="N118" s="3">
        <f t="shared" si="10"/>
        <v>25534.370625000003</v>
      </c>
      <c r="O118" s="3">
        <f t="shared" si="11"/>
        <v>29675.079375000001</v>
      </c>
      <c r="P118">
        <f t="shared" si="14"/>
        <v>2065</v>
      </c>
      <c r="Q118">
        <f t="shared" si="15"/>
        <v>2145</v>
      </c>
    </row>
    <row r="119" spans="1:17" x14ac:dyDescent="0.25">
      <c r="A119" s="15" t="s">
        <v>280</v>
      </c>
      <c r="B119" s="5" t="s">
        <v>2758</v>
      </c>
      <c r="C119" s="5">
        <v>250</v>
      </c>
      <c r="D119" s="21">
        <v>78</v>
      </c>
      <c r="E119" s="24">
        <f>VLOOKUP(C119,'Taux unitaires'!H:I,2,FALSE)</f>
        <v>1488</v>
      </c>
      <c r="F119" s="25">
        <f t="shared" si="12"/>
        <v>116064</v>
      </c>
      <c r="G119" s="26">
        <f>VLOOKUP(B119,'Durée de vie utile'!$C$20:$E$25,3,FALSE)</f>
        <v>100</v>
      </c>
      <c r="H119" s="26">
        <f>VLOOKUP('Conduite principale'!B119,'Durée de vie utile'!$C$20:$E$25,2,FALSE)</f>
        <v>70</v>
      </c>
      <c r="I119" s="25">
        <f t="shared" si="13"/>
        <v>1658.0571428571429</v>
      </c>
      <c r="J119" s="25">
        <f>(F119/(1+'Autres hypothèses'!$D$5))*('Autres hypothèses'!$D$5/(((1+'Autres hypothèses'!$D$5)^'Conduite principale'!H119-1)))</f>
        <v>1141.4286126471186</v>
      </c>
      <c r="K119" s="26">
        <v>1985</v>
      </c>
      <c r="L119" s="22">
        <f t="shared" si="8"/>
        <v>37</v>
      </c>
      <c r="M119" s="1">
        <f t="shared" si="9"/>
        <v>0.52857142857142858</v>
      </c>
      <c r="N119" s="3">
        <f t="shared" si="10"/>
        <v>61348.114285714284</v>
      </c>
      <c r="O119" s="3">
        <f t="shared" si="11"/>
        <v>54715.885714285716</v>
      </c>
      <c r="P119">
        <f t="shared" si="14"/>
        <v>2055</v>
      </c>
      <c r="Q119">
        <f t="shared" si="15"/>
        <v>2125</v>
      </c>
    </row>
    <row r="120" spans="1:17" x14ac:dyDescent="0.25">
      <c r="A120" s="15" t="s">
        <v>281</v>
      </c>
      <c r="B120" s="5" t="s">
        <v>2759</v>
      </c>
      <c r="C120" s="5">
        <v>300</v>
      </c>
      <c r="D120" s="21">
        <v>3.1</v>
      </c>
      <c r="E120" s="24">
        <f>VLOOKUP(C120,'Taux unitaires'!H:I,2,FALSE)</f>
        <v>1534.5</v>
      </c>
      <c r="F120" s="25">
        <f t="shared" si="12"/>
        <v>4756.95</v>
      </c>
      <c r="G120" s="26">
        <f>VLOOKUP(B120,'Durée de vie utile'!$C$20:$E$25,3,FALSE)</f>
        <v>100</v>
      </c>
      <c r="H120" s="26">
        <f>VLOOKUP('Conduite principale'!B120,'Durée de vie utile'!$C$20:$E$25,2,FALSE)</f>
        <v>70</v>
      </c>
      <c r="I120" s="25">
        <f t="shared" si="13"/>
        <v>67.956428571428575</v>
      </c>
      <c r="J120" s="25">
        <f>(F120/(1+'Autres hypothèses'!$D$5))*('Autres hypothèses'!$D$5/(((1+'Autres hypothèses'!$D$5)^'Conduite principale'!H120-1)))</f>
        <v>46.782110205849456</v>
      </c>
      <c r="K120" s="26">
        <v>1985</v>
      </c>
      <c r="L120" s="22">
        <f t="shared" si="8"/>
        <v>37</v>
      </c>
      <c r="M120" s="1">
        <f t="shared" si="9"/>
        <v>0.52857142857142858</v>
      </c>
      <c r="N120" s="3">
        <f t="shared" si="10"/>
        <v>2514.3878571428572</v>
      </c>
      <c r="O120" s="3">
        <f t="shared" si="11"/>
        <v>2242.5621428571426</v>
      </c>
      <c r="P120">
        <f t="shared" si="14"/>
        <v>2055</v>
      </c>
      <c r="Q120">
        <f t="shared" si="15"/>
        <v>2125</v>
      </c>
    </row>
    <row r="121" spans="1:17" x14ac:dyDescent="0.25">
      <c r="A121" s="15" t="s">
        <v>282</v>
      </c>
      <c r="B121" s="5" t="s">
        <v>2760</v>
      </c>
      <c r="C121" s="5">
        <v>300</v>
      </c>
      <c r="D121" s="21">
        <v>45.7</v>
      </c>
      <c r="E121" s="24">
        <f>VLOOKUP(C121,'Taux unitaires'!H:I,2,FALSE)</f>
        <v>1534.5</v>
      </c>
      <c r="F121" s="25">
        <f t="shared" si="12"/>
        <v>70126.650000000009</v>
      </c>
      <c r="G121" s="26">
        <f>VLOOKUP(B121,'Durée de vie utile'!$C$20:$E$25,3,FALSE)</f>
        <v>125</v>
      </c>
      <c r="H121" s="26">
        <f>VLOOKUP('Conduite principale'!B121,'Durée de vie utile'!$C$20:$E$25,2,FALSE)</f>
        <v>80</v>
      </c>
      <c r="I121" s="25">
        <f t="shared" si="13"/>
        <v>876.58312500000011</v>
      </c>
      <c r="J121" s="25">
        <f>(F121/(1+'Autres hypothèses'!$D$5))*('Autres hypothèses'!$D$5/(((1+'Autres hypothèses'!$D$5)^'Conduite principale'!H121-1)))</f>
        <v>570.65388639408968</v>
      </c>
      <c r="K121" s="26">
        <v>1986</v>
      </c>
      <c r="L121" s="22">
        <f t="shared" si="8"/>
        <v>36</v>
      </c>
      <c r="M121" s="1">
        <f t="shared" si="9"/>
        <v>0.45</v>
      </c>
      <c r="N121" s="3">
        <f t="shared" si="10"/>
        <v>31556.992500000004</v>
      </c>
      <c r="O121" s="3">
        <f t="shared" si="11"/>
        <v>38569.657500000001</v>
      </c>
      <c r="P121">
        <f t="shared" si="14"/>
        <v>2066</v>
      </c>
      <c r="Q121">
        <f t="shared" si="15"/>
        <v>2146</v>
      </c>
    </row>
    <row r="122" spans="1:17" x14ac:dyDescent="0.25">
      <c r="A122" s="15" t="s">
        <v>283</v>
      </c>
      <c r="B122" s="5" t="s">
        <v>2761</v>
      </c>
      <c r="C122" s="5">
        <v>750</v>
      </c>
      <c r="D122" s="21">
        <v>3.8000000000000003</v>
      </c>
      <c r="E122" s="24">
        <f>VLOOKUP(C122,'Taux unitaires'!H:I,2,FALSE)</f>
        <v>1767</v>
      </c>
      <c r="F122" s="25">
        <f t="shared" si="12"/>
        <v>6714.6</v>
      </c>
      <c r="G122" s="26">
        <f>VLOOKUP(B122,'Durée de vie utile'!$C$20:$E$25,3,FALSE)</f>
        <v>125</v>
      </c>
      <c r="H122" s="26">
        <f>VLOOKUP('Conduite principale'!B122,'Durée de vie utile'!$C$20:$E$25,2,FALSE)</f>
        <v>80</v>
      </c>
      <c r="I122" s="25">
        <f t="shared" si="13"/>
        <v>83.932500000000005</v>
      </c>
      <c r="J122" s="25">
        <f>(F122/(1+'Autres hypothèses'!$D$5))*('Autres hypothèses'!$D$5/(((1+'Autres hypothèses'!$D$5)^'Conduite principale'!H122-1)))</f>
        <v>54.639892046486679</v>
      </c>
      <c r="K122" s="26">
        <v>1986</v>
      </c>
      <c r="L122" s="22">
        <f t="shared" si="8"/>
        <v>36</v>
      </c>
      <c r="M122" s="1">
        <f t="shared" si="9"/>
        <v>0.45</v>
      </c>
      <c r="N122" s="3">
        <f t="shared" si="10"/>
        <v>3021.57</v>
      </c>
      <c r="O122" s="3">
        <f t="shared" si="11"/>
        <v>3693.03</v>
      </c>
      <c r="P122">
        <f t="shared" si="14"/>
        <v>2066</v>
      </c>
      <c r="Q122">
        <f t="shared" si="15"/>
        <v>2146</v>
      </c>
    </row>
    <row r="123" spans="1:17" x14ac:dyDescent="0.25">
      <c r="A123" s="15" t="s">
        <v>284</v>
      </c>
      <c r="B123" s="5" t="s">
        <v>2762</v>
      </c>
      <c r="C123" s="5">
        <v>200</v>
      </c>
      <c r="D123" s="21">
        <v>75.099999999999994</v>
      </c>
      <c r="E123" s="24">
        <f>VLOOKUP(C123,'Taux unitaires'!H:I,2,FALSE)</f>
        <v>1441.5</v>
      </c>
      <c r="F123" s="25">
        <f t="shared" si="12"/>
        <v>108256.65</v>
      </c>
      <c r="G123" s="26">
        <f>VLOOKUP(B123,'Durée de vie utile'!$C$20:$E$25,3,FALSE)</f>
        <v>100</v>
      </c>
      <c r="H123" s="26">
        <f>VLOOKUP('Conduite principale'!B123,'Durée de vie utile'!$C$20:$E$25,2,FALSE)</f>
        <v>70</v>
      </c>
      <c r="I123" s="25">
        <f t="shared" si="13"/>
        <v>1546.5235714285714</v>
      </c>
      <c r="J123" s="25">
        <f>(F123/(1+'Autres hypothèses'!$D$5))*('Autres hypothèses'!$D$5/(((1+'Autres hypothèses'!$D$5)^'Conduite principale'!H123-1)))</f>
        <v>1064.6474171088771</v>
      </c>
      <c r="K123" s="26">
        <v>1986</v>
      </c>
      <c r="L123" s="22">
        <f t="shared" si="8"/>
        <v>36</v>
      </c>
      <c r="M123" s="1">
        <f t="shared" si="9"/>
        <v>0.51428571428571423</v>
      </c>
      <c r="N123" s="3">
        <f t="shared" si="10"/>
        <v>55674.848571428563</v>
      </c>
      <c r="O123" s="3">
        <f t="shared" si="11"/>
        <v>52581.801428571431</v>
      </c>
      <c r="P123">
        <f t="shared" si="14"/>
        <v>2056</v>
      </c>
      <c r="Q123">
        <f t="shared" si="15"/>
        <v>2126</v>
      </c>
    </row>
    <row r="124" spans="1:17" x14ac:dyDescent="0.25">
      <c r="A124" s="15" t="s">
        <v>285</v>
      </c>
      <c r="B124" s="5" t="s">
        <v>2763</v>
      </c>
      <c r="C124" s="5">
        <v>250</v>
      </c>
      <c r="D124" s="21">
        <v>77.699999999999989</v>
      </c>
      <c r="E124" s="24">
        <f>VLOOKUP(C124,'Taux unitaires'!H:I,2,FALSE)</f>
        <v>1488</v>
      </c>
      <c r="F124" s="25">
        <f t="shared" si="12"/>
        <v>115617.59999999998</v>
      </c>
      <c r="G124" s="26">
        <f>VLOOKUP(B124,'Durée de vie utile'!$C$20:$E$25,3,FALSE)</f>
        <v>100</v>
      </c>
      <c r="H124" s="26">
        <f>VLOOKUP('Conduite principale'!B124,'Durée de vie utile'!$C$20:$E$25,2,FALSE)</f>
        <v>70</v>
      </c>
      <c r="I124" s="25">
        <f t="shared" si="13"/>
        <v>1651.6799999999996</v>
      </c>
      <c r="J124" s="25">
        <f>(F124/(1+'Autres hypothèses'!$D$5))*('Autres hypothèses'!$D$5/(((1+'Autres hypothèses'!$D$5)^'Conduite principale'!H124-1)))</f>
        <v>1137.0385025984758</v>
      </c>
      <c r="K124" s="26">
        <v>1987</v>
      </c>
      <c r="L124" s="22">
        <f t="shared" si="8"/>
        <v>35</v>
      </c>
      <c r="M124" s="1">
        <f t="shared" si="9"/>
        <v>0.5</v>
      </c>
      <c r="N124" s="3">
        <f t="shared" si="10"/>
        <v>57808.799999999988</v>
      </c>
      <c r="O124" s="3">
        <f t="shared" si="11"/>
        <v>57808.799999999988</v>
      </c>
      <c r="P124">
        <f t="shared" si="14"/>
        <v>2057</v>
      </c>
      <c r="Q124">
        <f t="shared" si="15"/>
        <v>2127</v>
      </c>
    </row>
    <row r="125" spans="1:17" x14ac:dyDescent="0.25">
      <c r="A125" s="15" t="s">
        <v>286</v>
      </c>
      <c r="B125" s="5" t="s">
        <v>2764</v>
      </c>
      <c r="C125" s="5">
        <v>250</v>
      </c>
      <c r="D125" s="21">
        <v>93.6</v>
      </c>
      <c r="E125" s="24">
        <f>VLOOKUP(C125,'Taux unitaires'!H:I,2,FALSE)</f>
        <v>1488</v>
      </c>
      <c r="F125" s="25">
        <f t="shared" si="12"/>
        <v>139276.79999999999</v>
      </c>
      <c r="G125" s="26">
        <f>VLOOKUP(B125,'Durée de vie utile'!$C$20:$E$25,3,FALSE)</f>
        <v>125</v>
      </c>
      <c r="H125" s="26">
        <f>VLOOKUP('Conduite principale'!B125,'Durée de vie utile'!$C$20:$E$25,2,FALSE)</f>
        <v>80</v>
      </c>
      <c r="I125" s="25">
        <f t="shared" si="13"/>
        <v>1740.9599999999998</v>
      </c>
      <c r="J125" s="25">
        <f>(F125/(1+'Autres hypothèses'!$D$5))*('Autres hypothèses'!$D$5/(((1+'Autres hypothèses'!$D$5)^'Conduite principale'!H125-1)))</f>
        <v>1133.3615280999784</v>
      </c>
      <c r="K125" s="26">
        <v>1979</v>
      </c>
      <c r="L125" s="22">
        <f t="shared" si="8"/>
        <v>43</v>
      </c>
      <c r="M125" s="1">
        <f t="shared" si="9"/>
        <v>0.53749999999999998</v>
      </c>
      <c r="N125" s="3">
        <f t="shared" si="10"/>
        <v>74861.279999999984</v>
      </c>
      <c r="O125" s="3">
        <f t="shared" si="11"/>
        <v>64415.520000000004</v>
      </c>
      <c r="P125">
        <f t="shared" si="14"/>
        <v>2059</v>
      </c>
      <c r="Q125">
        <f t="shared" si="15"/>
        <v>2139</v>
      </c>
    </row>
    <row r="126" spans="1:17" x14ac:dyDescent="0.25">
      <c r="A126" s="15" t="s">
        <v>287</v>
      </c>
      <c r="B126" s="5" t="s">
        <v>2765</v>
      </c>
      <c r="C126" s="5">
        <v>250</v>
      </c>
      <c r="D126" s="21">
        <v>4.5999999999999996</v>
      </c>
      <c r="E126" s="24">
        <f>VLOOKUP(C126,'Taux unitaires'!H:I,2,FALSE)</f>
        <v>1488</v>
      </c>
      <c r="F126" s="25">
        <f t="shared" si="12"/>
        <v>6844.7999999999993</v>
      </c>
      <c r="G126" s="26">
        <f>VLOOKUP(B126,'Durée de vie utile'!$C$20:$E$25,3,FALSE)</f>
        <v>100</v>
      </c>
      <c r="H126" s="26">
        <f>VLOOKUP('Conduite principale'!B126,'Durée de vie utile'!$C$20:$E$25,2,FALSE)</f>
        <v>70</v>
      </c>
      <c r="I126" s="25">
        <f t="shared" si="13"/>
        <v>97.782857142857139</v>
      </c>
      <c r="J126" s="25">
        <f>(F126/(1+'Autres hypothèses'!$D$5))*('Autres hypothèses'!$D$5/(((1+'Autres hypothèses'!$D$5)^'Conduite principale'!H126-1)))</f>
        <v>67.315020745855705</v>
      </c>
      <c r="K126" s="26">
        <v>1987</v>
      </c>
      <c r="L126" s="22">
        <f t="shared" si="8"/>
        <v>35</v>
      </c>
      <c r="M126" s="1">
        <f t="shared" si="9"/>
        <v>0.5</v>
      </c>
      <c r="N126" s="3">
        <f t="shared" si="10"/>
        <v>3422.3999999999996</v>
      </c>
      <c r="O126" s="3">
        <f t="shared" si="11"/>
        <v>3422.3999999999996</v>
      </c>
      <c r="P126">
        <f t="shared" si="14"/>
        <v>2057</v>
      </c>
      <c r="Q126">
        <f t="shared" si="15"/>
        <v>2127</v>
      </c>
    </row>
    <row r="127" spans="1:17" x14ac:dyDescent="0.25">
      <c r="A127" s="15" t="s">
        <v>288</v>
      </c>
      <c r="B127" s="5" t="s">
        <v>2766</v>
      </c>
      <c r="C127" s="5">
        <v>375</v>
      </c>
      <c r="D127" s="21">
        <v>53.7</v>
      </c>
      <c r="E127" s="24">
        <f>VLOOKUP(C127,'Taux unitaires'!H:I,2,FALSE)</f>
        <v>1534.5</v>
      </c>
      <c r="F127" s="25">
        <f t="shared" si="12"/>
        <v>82402.650000000009</v>
      </c>
      <c r="G127" s="26">
        <f>VLOOKUP(B127,'Durée de vie utile'!$C$20:$E$25,3,FALSE)</f>
        <v>100</v>
      </c>
      <c r="H127" s="26">
        <f>VLOOKUP('Conduite principale'!B127,'Durée de vie utile'!$C$20:$E$25,2,FALSE)</f>
        <v>70</v>
      </c>
      <c r="I127" s="25">
        <f t="shared" si="13"/>
        <v>1177.1807142857144</v>
      </c>
      <c r="J127" s="25">
        <f>(F127/(1+'Autres hypothèses'!$D$5))*('Autres hypothèses'!$D$5/(((1+'Autres hypothèses'!$D$5)^'Conduite principale'!H127-1)))</f>
        <v>810.38687679165048</v>
      </c>
      <c r="K127" s="26">
        <v>1979</v>
      </c>
      <c r="L127" s="22">
        <f t="shared" si="8"/>
        <v>43</v>
      </c>
      <c r="M127" s="1">
        <f t="shared" si="9"/>
        <v>0.61428571428571432</v>
      </c>
      <c r="N127" s="3">
        <f t="shared" si="10"/>
        <v>50618.770714285725</v>
      </c>
      <c r="O127" s="3">
        <f t="shared" si="11"/>
        <v>31783.879285714283</v>
      </c>
      <c r="P127">
        <f t="shared" si="14"/>
        <v>2049</v>
      </c>
      <c r="Q127">
        <f t="shared" si="15"/>
        <v>2119</v>
      </c>
    </row>
    <row r="128" spans="1:17" x14ac:dyDescent="0.25">
      <c r="A128" s="15" t="s">
        <v>289</v>
      </c>
      <c r="B128" s="5" t="s">
        <v>2767</v>
      </c>
      <c r="C128" s="5">
        <v>375</v>
      </c>
      <c r="D128" s="21">
        <v>59.9</v>
      </c>
      <c r="E128" s="24">
        <f>VLOOKUP(C128,'Taux unitaires'!H:I,2,FALSE)</f>
        <v>1534.5</v>
      </c>
      <c r="F128" s="25">
        <f t="shared" si="12"/>
        <v>91916.55</v>
      </c>
      <c r="G128" s="26">
        <f>VLOOKUP(B128,'Durée de vie utile'!$C$20:$E$25,3,FALSE)</f>
        <v>125</v>
      </c>
      <c r="H128" s="26">
        <f>VLOOKUP('Conduite principale'!B128,'Durée de vie utile'!$C$20:$E$25,2,FALSE)</f>
        <v>80</v>
      </c>
      <c r="I128" s="25">
        <f t="shared" si="13"/>
        <v>1148.9568750000001</v>
      </c>
      <c r="J128" s="25">
        <f>(F128/(1+'Autres hypothèses'!$D$5))*('Autres hypothèses'!$D$5/(((1+'Autres hypothèses'!$D$5)^'Conduite principale'!H128-1)))</f>
        <v>747.96866072223133</v>
      </c>
      <c r="K128" s="26">
        <v>1979</v>
      </c>
      <c r="L128" s="22">
        <f t="shared" si="8"/>
        <v>43</v>
      </c>
      <c r="M128" s="1">
        <f t="shared" si="9"/>
        <v>0.53749999999999998</v>
      </c>
      <c r="N128" s="3">
        <f t="shared" si="10"/>
        <v>49405.145624999997</v>
      </c>
      <c r="O128" s="3">
        <f t="shared" si="11"/>
        <v>42511.404375000006</v>
      </c>
      <c r="P128">
        <f t="shared" si="14"/>
        <v>2059</v>
      </c>
      <c r="Q128">
        <f t="shared" si="15"/>
        <v>2139</v>
      </c>
    </row>
    <row r="129" spans="1:17" x14ac:dyDescent="0.25">
      <c r="A129" s="15" t="s">
        <v>290</v>
      </c>
      <c r="B129" s="5" t="s">
        <v>2768</v>
      </c>
      <c r="C129" s="5">
        <v>200</v>
      </c>
      <c r="D129" s="21">
        <v>74.5</v>
      </c>
      <c r="E129" s="24">
        <f>VLOOKUP(C129,'Taux unitaires'!H:I,2,FALSE)</f>
        <v>1441.5</v>
      </c>
      <c r="F129" s="25">
        <f t="shared" si="12"/>
        <v>107391.75</v>
      </c>
      <c r="G129" s="26">
        <f>VLOOKUP(B129,'Durée de vie utile'!$C$20:$E$25,3,FALSE)</f>
        <v>125</v>
      </c>
      <c r="H129" s="26">
        <f>VLOOKUP('Conduite principale'!B129,'Durée de vie utile'!$C$20:$E$25,2,FALSE)</f>
        <v>90</v>
      </c>
      <c r="I129" s="25">
        <f t="shared" si="13"/>
        <v>1193.2416666666666</v>
      </c>
      <c r="J129" s="25">
        <f>(F129/(1+'Autres hypothèses'!$D$5))*('Autres hypothèses'!$D$5/(((1+'Autres hypothèses'!$D$5)^'Conduite principale'!H129-1)))</f>
        <v>733.99190289792216</v>
      </c>
      <c r="K129" s="26">
        <v>1979</v>
      </c>
      <c r="L129" s="22">
        <f t="shared" si="8"/>
        <v>43</v>
      </c>
      <c r="M129" s="1">
        <f t="shared" si="9"/>
        <v>0.4777777777777778</v>
      </c>
      <c r="N129" s="3">
        <f t="shared" si="10"/>
        <v>51309.39166666667</v>
      </c>
      <c r="O129" s="3">
        <f t="shared" si="11"/>
        <v>56082.35833333333</v>
      </c>
      <c r="P129">
        <f t="shared" si="14"/>
        <v>2069</v>
      </c>
      <c r="Q129">
        <f t="shared" si="15"/>
        <v>2159</v>
      </c>
    </row>
    <row r="130" spans="1:17" x14ac:dyDescent="0.25">
      <c r="A130" s="15" t="s">
        <v>291</v>
      </c>
      <c r="B130" s="5" t="s">
        <v>2769</v>
      </c>
      <c r="C130" s="5">
        <v>375</v>
      </c>
      <c r="D130" s="21">
        <v>43.300000000000004</v>
      </c>
      <c r="E130" s="24">
        <f>VLOOKUP(C130,'Taux unitaires'!H:I,2,FALSE)</f>
        <v>1534.5</v>
      </c>
      <c r="F130" s="25">
        <f t="shared" si="12"/>
        <v>66443.850000000006</v>
      </c>
      <c r="G130" s="26">
        <f>VLOOKUP(B130,'Durée de vie utile'!$C$20:$E$25,3,FALSE)</f>
        <v>125</v>
      </c>
      <c r="H130" s="26">
        <f>VLOOKUP('Conduite principale'!B130,'Durée de vie utile'!$C$20:$E$25,2,FALSE)</f>
        <v>80</v>
      </c>
      <c r="I130" s="25">
        <f t="shared" si="13"/>
        <v>830.54812500000003</v>
      </c>
      <c r="J130" s="25">
        <f>(F130/(1+'Autres hypothèses'!$D$5))*('Autres hypothèses'!$D$5/(((1+'Autres hypothèses'!$D$5)^'Conduite principale'!H130-1)))</f>
        <v>540.68519214144612</v>
      </c>
      <c r="K130" s="26">
        <v>1987</v>
      </c>
      <c r="L130" s="22">
        <f t="shared" ref="L130:L193" si="16">2022-K130</f>
        <v>35</v>
      </c>
      <c r="M130" s="1">
        <f t="shared" ref="M130:M193" si="17">L130/H130</f>
        <v>0.4375</v>
      </c>
      <c r="N130" s="3">
        <f t="shared" ref="N130:N193" si="18">M130*F130</f>
        <v>29069.184375000004</v>
      </c>
      <c r="O130" s="3">
        <f t="shared" ref="O130:O193" si="19">F130-N130</f>
        <v>37374.665625000001</v>
      </c>
      <c r="P130">
        <f t="shared" si="14"/>
        <v>2067</v>
      </c>
      <c r="Q130">
        <f t="shared" si="15"/>
        <v>2147</v>
      </c>
    </row>
    <row r="131" spans="1:17" x14ac:dyDescent="0.25">
      <c r="A131" s="15" t="s">
        <v>292</v>
      </c>
      <c r="B131" s="5" t="s">
        <v>2770</v>
      </c>
      <c r="C131" s="5">
        <v>200</v>
      </c>
      <c r="D131" s="21">
        <v>88.8</v>
      </c>
      <c r="E131" s="24">
        <f>VLOOKUP(C131,'Taux unitaires'!H:I,2,FALSE)</f>
        <v>1441.5</v>
      </c>
      <c r="F131" s="25">
        <f t="shared" ref="F131:F194" si="20">D131*E131</f>
        <v>128005.2</v>
      </c>
      <c r="G131" s="26">
        <f>VLOOKUP(B131,'Durée de vie utile'!$C$20:$E$25,3,FALSE)</f>
        <v>125</v>
      </c>
      <c r="H131" s="26">
        <f>VLOOKUP('Conduite principale'!B131,'Durée de vie utile'!$C$20:$E$25,2,FALSE)</f>
        <v>90</v>
      </c>
      <c r="I131" s="25">
        <f t="shared" ref="I131:I194" si="21">F131/H131</f>
        <v>1422.28</v>
      </c>
      <c r="J131" s="25">
        <f>(F131/(1+'Autres hypothèses'!$D$5))*('Autres hypothèses'!$D$5/(((1+'Autres hypothèses'!$D$5)^'Conduite principale'!H131-1)))</f>
        <v>874.87893929309382</v>
      </c>
      <c r="K131" s="26">
        <v>1988</v>
      </c>
      <c r="L131" s="22">
        <f t="shared" si="16"/>
        <v>34</v>
      </c>
      <c r="M131" s="1">
        <f t="shared" si="17"/>
        <v>0.37777777777777777</v>
      </c>
      <c r="N131" s="3">
        <f t="shared" si="18"/>
        <v>48357.52</v>
      </c>
      <c r="O131" s="3">
        <f t="shared" si="19"/>
        <v>79647.679999999993</v>
      </c>
      <c r="P131">
        <f t="shared" ref="P131:P194" si="22">K131+H131</f>
        <v>2078</v>
      </c>
      <c r="Q131">
        <f t="shared" ref="Q131:Q194" si="23">P131+H131</f>
        <v>2168</v>
      </c>
    </row>
    <row r="132" spans="1:17" x14ac:dyDescent="0.25">
      <c r="A132" s="15" t="s">
        <v>293</v>
      </c>
      <c r="B132" s="5" t="s">
        <v>2771</v>
      </c>
      <c r="C132" s="5">
        <v>450</v>
      </c>
      <c r="D132" s="21">
        <v>93.8</v>
      </c>
      <c r="E132" s="24">
        <f>VLOOKUP(C132,'Taux unitaires'!H:I,2,FALSE)</f>
        <v>1581</v>
      </c>
      <c r="F132" s="25">
        <f t="shared" si="20"/>
        <v>148297.79999999999</v>
      </c>
      <c r="G132" s="26">
        <f>VLOOKUP(B132,'Durée de vie utile'!$C$20:$E$25,3,FALSE)</f>
        <v>125</v>
      </c>
      <c r="H132" s="26">
        <f>VLOOKUP('Conduite principale'!B132,'Durée de vie utile'!$C$20:$E$25,2,FALSE)</f>
        <v>80</v>
      </c>
      <c r="I132" s="25">
        <f t="shared" si="21"/>
        <v>1853.7224999999999</v>
      </c>
      <c r="J132" s="25">
        <f>(F132/(1+'Autres hypothèses'!$D$5))*('Autres hypothèses'!$D$5/(((1+'Autres hypothèses'!$D$5)^'Conduite principale'!H132-1)))</f>
        <v>1206.7696933147872</v>
      </c>
      <c r="K132" s="26">
        <v>1988</v>
      </c>
      <c r="L132" s="22">
        <f t="shared" si="16"/>
        <v>34</v>
      </c>
      <c r="M132" s="1">
        <f t="shared" si="17"/>
        <v>0.42499999999999999</v>
      </c>
      <c r="N132" s="3">
        <f t="shared" si="18"/>
        <v>63026.564999999995</v>
      </c>
      <c r="O132" s="3">
        <f t="shared" si="19"/>
        <v>85271.234999999986</v>
      </c>
      <c r="P132">
        <f t="shared" si="22"/>
        <v>2068</v>
      </c>
      <c r="Q132">
        <f t="shared" si="23"/>
        <v>2148</v>
      </c>
    </row>
    <row r="133" spans="1:17" x14ac:dyDescent="0.25">
      <c r="A133" s="15" t="s">
        <v>294</v>
      </c>
      <c r="B133" s="5" t="s">
        <v>2772</v>
      </c>
      <c r="C133" s="5">
        <v>200</v>
      </c>
      <c r="D133" s="21">
        <v>25</v>
      </c>
      <c r="E133" s="24">
        <f>VLOOKUP(C133,'Taux unitaires'!H:I,2,FALSE)</f>
        <v>1441.5</v>
      </c>
      <c r="F133" s="25">
        <f t="shared" si="20"/>
        <v>36037.5</v>
      </c>
      <c r="G133" s="26">
        <f>VLOOKUP(B133,'Durée de vie utile'!$C$20:$E$25,3,FALSE)</f>
        <v>100</v>
      </c>
      <c r="H133" s="26">
        <f>VLOOKUP('Conduite principale'!B133,'Durée de vie utile'!$C$20:$E$25,2,FALSE)</f>
        <v>70</v>
      </c>
      <c r="I133" s="25">
        <f t="shared" si="21"/>
        <v>514.82142857142856</v>
      </c>
      <c r="J133" s="25">
        <f>(F133/(1+'Autres hypothèses'!$D$5))*('Autres hypothèses'!$D$5/(((1+'Autres hypothèses'!$D$5)^'Conduite principale'!H133-1)))</f>
        <v>354.40992580188981</v>
      </c>
      <c r="K133" s="26">
        <v>1988</v>
      </c>
      <c r="L133" s="22">
        <f t="shared" si="16"/>
        <v>34</v>
      </c>
      <c r="M133" s="1">
        <f t="shared" si="17"/>
        <v>0.48571428571428571</v>
      </c>
      <c r="N133" s="3">
        <f t="shared" si="18"/>
        <v>17503.928571428572</v>
      </c>
      <c r="O133" s="3">
        <f t="shared" si="19"/>
        <v>18533.571428571428</v>
      </c>
      <c r="P133">
        <f t="shared" si="22"/>
        <v>2058</v>
      </c>
      <c r="Q133">
        <f t="shared" si="23"/>
        <v>2128</v>
      </c>
    </row>
    <row r="134" spans="1:17" x14ac:dyDescent="0.25">
      <c r="A134" s="15" t="s">
        <v>295</v>
      </c>
      <c r="B134" s="5" t="s">
        <v>2773</v>
      </c>
      <c r="C134" s="5">
        <v>250</v>
      </c>
      <c r="D134" s="21">
        <v>29.6</v>
      </c>
      <c r="E134" s="24">
        <f>VLOOKUP(C134,'Taux unitaires'!H:I,2,FALSE)</f>
        <v>1488</v>
      </c>
      <c r="F134" s="25">
        <f t="shared" si="20"/>
        <v>44044.800000000003</v>
      </c>
      <c r="G134" s="26">
        <f>VLOOKUP(B134,'Durée de vie utile'!$C$20:$E$25,3,FALSE)</f>
        <v>100</v>
      </c>
      <c r="H134" s="26">
        <f>VLOOKUP('Conduite principale'!B134,'Durée de vie utile'!$C$20:$E$25,2,FALSE)</f>
        <v>70</v>
      </c>
      <c r="I134" s="25">
        <f t="shared" si="21"/>
        <v>629.21142857142866</v>
      </c>
      <c r="J134" s="25">
        <f>(F134/(1+'Autres hypothèses'!$D$5))*('Autres hypothèses'!$D$5/(((1+'Autres hypothèses'!$D$5)^'Conduite principale'!H134-1)))</f>
        <v>433.15752479941949</v>
      </c>
      <c r="K134" s="26">
        <v>1988</v>
      </c>
      <c r="L134" s="22">
        <f t="shared" si="16"/>
        <v>34</v>
      </c>
      <c r="M134" s="1">
        <f t="shared" si="17"/>
        <v>0.48571428571428571</v>
      </c>
      <c r="N134" s="3">
        <f t="shared" si="18"/>
        <v>21393.188571428571</v>
      </c>
      <c r="O134" s="3">
        <f t="shared" si="19"/>
        <v>22651.611428571432</v>
      </c>
      <c r="P134">
        <f t="shared" si="22"/>
        <v>2058</v>
      </c>
      <c r="Q134">
        <f t="shared" si="23"/>
        <v>2128</v>
      </c>
    </row>
    <row r="135" spans="1:17" x14ac:dyDescent="0.25">
      <c r="A135" s="15" t="s">
        <v>296</v>
      </c>
      <c r="B135" s="5" t="s">
        <v>2774</v>
      </c>
      <c r="C135" s="5">
        <v>250</v>
      </c>
      <c r="D135" s="21">
        <v>40</v>
      </c>
      <c r="E135" s="24">
        <f>VLOOKUP(C135,'Taux unitaires'!H:I,2,FALSE)</f>
        <v>1488</v>
      </c>
      <c r="F135" s="25">
        <f t="shared" si="20"/>
        <v>59520</v>
      </c>
      <c r="G135" s="26">
        <f>VLOOKUP(B135,'Durée de vie utile'!$C$20:$E$25,3,FALSE)</f>
        <v>125</v>
      </c>
      <c r="H135" s="26">
        <f>VLOOKUP('Conduite principale'!B135,'Durée de vie utile'!$C$20:$E$25,2,FALSE)</f>
        <v>80</v>
      </c>
      <c r="I135" s="25">
        <f t="shared" si="21"/>
        <v>744</v>
      </c>
      <c r="J135" s="25">
        <f>(F135/(1+'Autres hypothèses'!$D$5))*('Autres hypothèses'!$D$5/(((1+'Autres hypothèses'!$D$5)^'Conduite principale'!H135-1)))</f>
        <v>484.34253337605912</v>
      </c>
      <c r="K135" s="26">
        <v>1983</v>
      </c>
      <c r="L135" s="22">
        <f t="shared" si="16"/>
        <v>39</v>
      </c>
      <c r="M135" s="1">
        <f t="shared" si="17"/>
        <v>0.48749999999999999</v>
      </c>
      <c r="N135" s="3">
        <f t="shared" si="18"/>
        <v>29016</v>
      </c>
      <c r="O135" s="3">
        <f t="shared" si="19"/>
        <v>30504</v>
      </c>
      <c r="P135">
        <f t="shared" si="22"/>
        <v>2063</v>
      </c>
      <c r="Q135">
        <f t="shared" si="23"/>
        <v>2143</v>
      </c>
    </row>
    <row r="136" spans="1:17" x14ac:dyDescent="0.25">
      <c r="A136" s="15" t="s">
        <v>297</v>
      </c>
      <c r="B136" s="5" t="s">
        <v>2775</v>
      </c>
      <c r="C136" s="5">
        <v>250</v>
      </c>
      <c r="D136" s="21">
        <v>94.6</v>
      </c>
      <c r="E136" s="24">
        <f>VLOOKUP(C136,'Taux unitaires'!H:I,2,FALSE)</f>
        <v>1488</v>
      </c>
      <c r="F136" s="25">
        <f t="shared" si="20"/>
        <v>140764.79999999999</v>
      </c>
      <c r="G136" s="26">
        <f>VLOOKUP(B136,'Durée de vie utile'!$C$20:$E$25,3,FALSE)</f>
        <v>125</v>
      </c>
      <c r="H136" s="26">
        <f>VLOOKUP('Conduite principale'!B136,'Durée de vie utile'!$C$20:$E$25,2,FALSE)</f>
        <v>80</v>
      </c>
      <c r="I136" s="25">
        <f t="shared" si="21"/>
        <v>1759.56</v>
      </c>
      <c r="J136" s="25">
        <f>(F136/(1+'Autres hypothèses'!$D$5))*('Autres hypothèses'!$D$5/(((1+'Autres hypothèses'!$D$5)^'Conduite principale'!H136-1)))</f>
        <v>1145.4700914343798</v>
      </c>
      <c r="K136" s="26">
        <v>1988</v>
      </c>
      <c r="L136" s="22">
        <f t="shared" si="16"/>
        <v>34</v>
      </c>
      <c r="M136" s="1">
        <f t="shared" si="17"/>
        <v>0.42499999999999999</v>
      </c>
      <c r="N136" s="3">
        <f t="shared" si="18"/>
        <v>59825.039999999994</v>
      </c>
      <c r="O136" s="3">
        <f t="shared" si="19"/>
        <v>80939.759999999995</v>
      </c>
      <c r="P136">
        <f t="shared" si="22"/>
        <v>2068</v>
      </c>
      <c r="Q136">
        <f t="shared" si="23"/>
        <v>2148</v>
      </c>
    </row>
    <row r="137" spans="1:17" x14ac:dyDescent="0.25">
      <c r="A137" s="15" t="s">
        <v>298</v>
      </c>
      <c r="B137" s="5" t="s">
        <v>2776</v>
      </c>
      <c r="C137" s="5">
        <v>300</v>
      </c>
      <c r="D137" s="21">
        <v>57.5</v>
      </c>
      <c r="E137" s="24">
        <f>VLOOKUP(C137,'Taux unitaires'!H:I,2,FALSE)</f>
        <v>1534.5</v>
      </c>
      <c r="F137" s="25">
        <f t="shared" si="20"/>
        <v>88233.75</v>
      </c>
      <c r="G137" s="26">
        <f>VLOOKUP(B137,'Durée de vie utile'!$C$20:$E$25,3,FALSE)</f>
        <v>125</v>
      </c>
      <c r="H137" s="26">
        <f>VLOOKUP('Conduite principale'!B137,'Durée de vie utile'!$C$20:$E$25,2,FALSE)</f>
        <v>80</v>
      </c>
      <c r="I137" s="25">
        <f t="shared" si="21"/>
        <v>1102.921875</v>
      </c>
      <c r="J137" s="25">
        <f>(F137/(1+'Autres hypothèses'!$D$5))*('Autres hypothèses'!$D$5/(((1+'Autres hypothèses'!$D$5)^'Conduite principale'!H137-1)))</f>
        <v>717.99996646958766</v>
      </c>
      <c r="K137" s="26">
        <v>1988</v>
      </c>
      <c r="L137" s="22">
        <f t="shared" si="16"/>
        <v>34</v>
      </c>
      <c r="M137" s="1">
        <f t="shared" si="17"/>
        <v>0.42499999999999999</v>
      </c>
      <c r="N137" s="3">
        <f t="shared" si="18"/>
        <v>37499.34375</v>
      </c>
      <c r="O137" s="3">
        <f t="shared" si="19"/>
        <v>50734.40625</v>
      </c>
      <c r="P137">
        <f t="shared" si="22"/>
        <v>2068</v>
      </c>
      <c r="Q137">
        <f t="shared" si="23"/>
        <v>2148</v>
      </c>
    </row>
    <row r="138" spans="1:17" x14ac:dyDescent="0.25">
      <c r="A138" s="15" t="s">
        <v>299</v>
      </c>
      <c r="B138" s="5" t="s">
        <v>2777</v>
      </c>
      <c r="C138" s="5">
        <v>200</v>
      </c>
      <c r="D138" s="21">
        <v>89.8</v>
      </c>
      <c r="E138" s="24">
        <f>VLOOKUP(C138,'Taux unitaires'!H:I,2,FALSE)</f>
        <v>1441.5</v>
      </c>
      <c r="F138" s="25">
        <f t="shared" si="20"/>
        <v>129446.7</v>
      </c>
      <c r="G138" s="26">
        <f>VLOOKUP(B138,'Durée de vie utile'!$C$20:$E$25,3,FALSE)</f>
        <v>100</v>
      </c>
      <c r="H138" s="26">
        <f>VLOOKUP('Conduite principale'!B138,'Durée de vie utile'!$C$20:$E$25,2,FALSE)</f>
        <v>70</v>
      </c>
      <c r="I138" s="25">
        <f t="shared" si="21"/>
        <v>1849.2385714285713</v>
      </c>
      <c r="J138" s="25">
        <f>(F138/(1+'Autres hypothèses'!$D$5))*('Autres hypothèses'!$D$5/(((1+'Autres hypothèses'!$D$5)^'Conduite principale'!H138-1)))</f>
        <v>1273.0404534803884</v>
      </c>
      <c r="K138" s="26">
        <v>1989</v>
      </c>
      <c r="L138" s="22">
        <f t="shared" si="16"/>
        <v>33</v>
      </c>
      <c r="M138" s="1">
        <f t="shared" si="17"/>
        <v>0.47142857142857142</v>
      </c>
      <c r="N138" s="3">
        <f t="shared" si="18"/>
        <v>61024.872857142851</v>
      </c>
      <c r="O138" s="3">
        <f t="shared" si="19"/>
        <v>68421.827142857146</v>
      </c>
      <c r="P138">
        <f t="shared" si="22"/>
        <v>2059</v>
      </c>
      <c r="Q138">
        <f t="shared" si="23"/>
        <v>2129</v>
      </c>
    </row>
    <row r="139" spans="1:17" x14ac:dyDescent="0.25">
      <c r="A139" s="15" t="s">
        <v>300</v>
      </c>
      <c r="B139" s="5" t="s">
        <v>2778</v>
      </c>
      <c r="C139" s="5">
        <v>300</v>
      </c>
      <c r="D139" s="21">
        <v>6.6999999999999993</v>
      </c>
      <c r="E139" s="24">
        <f>VLOOKUP(C139,'Taux unitaires'!H:I,2,FALSE)</f>
        <v>1534.5</v>
      </c>
      <c r="F139" s="25">
        <f t="shared" si="20"/>
        <v>10281.15</v>
      </c>
      <c r="G139" s="26">
        <f>VLOOKUP(B139,'Durée de vie utile'!$C$20:$E$25,3,FALSE)</f>
        <v>125</v>
      </c>
      <c r="H139" s="26">
        <f>VLOOKUP('Conduite principale'!B139,'Durée de vie utile'!$C$20:$E$25,2,FALSE)</f>
        <v>90</v>
      </c>
      <c r="I139" s="25">
        <f t="shared" si="21"/>
        <v>114.235</v>
      </c>
      <c r="J139" s="25">
        <f>(F139/(1+'Autres hypothèses'!$D$5))*('Autres hypothèses'!$D$5/(((1+'Autres hypothèses'!$D$5)^'Conduite principale'!H139-1)))</f>
        <v>70.268720385681135</v>
      </c>
      <c r="K139" s="26">
        <v>1983</v>
      </c>
      <c r="L139" s="22">
        <f t="shared" si="16"/>
        <v>39</v>
      </c>
      <c r="M139" s="1">
        <f t="shared" si="17"/>
        <v>0.43333333333333335</v>
      </c>
      <c r="N139" s="3">
        <f t="shared" si="18"/>
        <v>4455.165</v>
      </c>
      <c r="O139" s="3">
        <f t="shared" si="19"/>
        <v>5825.9849999999997</v>
      </c>
      <c r="P139">
        <f t="shared" si="22"/>
        <v>2073</v>
      </c>
      <c r="Q139">
        <f t="shared" si="23"/>
        <v>2163</v>
      </c>
    </row>
    <row r="140" spans="1:17" x14ac:dyDescent="0.25">
      <c r="A140" s="15" t="s">
        <v>301</v>
      </c>
      <c r="B140" s="5" t="s">
        <v>2779</v>
      </c>
      <c r="C140" s="5">
        <v>300</v>
      </c>
      <c r="D140" s="21">
        <v>86.699999999999989</v>
      </c>
      <c r="E140" s="24">
        <f>VLOOKUP(C140,'Taux unitaires'!H:I,2,FALSE)</f>
        <v>1534.5</v>
      </c>
      <c r="F140" s="25">
        <f t="shared" si="20"/>
        <v>133041.15</v>
      </c>
      <c r="G140" s="26">
        <f>VLOOKUP(B140,'Durée de vie utile'!$C$20:$E$25,3,FALSE)</f>
        <v>125</v>
      </c>
      <c r="H140" s="26">
        <f>VLOOKUP('Conduite principale'!B140,'Durée de vie utile'!$C$20:$E$25,2,FALSE)</f>
        <v>80</v>
      </c>
      <c r="I140" s="25">
        <f t="shared" si="21"/>
        <v>1663.014375</v>
      </c>
      <c r="J140" s="25">
        <f>(F140/(1+'Autres hypothèses'!$D$5))*('Autres hypothèses'!$D$5/(((1+'Autres hypothèses'!$D$5)^'Conduite principale'!H140-1)))</f>
        <v>1082.619079876752</v>
      </c>
      <c r="K140" s="26">
        <v>1983</v>
      </c>
      <c r="L140" s="22">
        <f t="shared" si="16"/>
        <v>39</v>
      </c>
      <c r="M140" s="1">
        <f t="shared" si="17"/>
        <v>0.48749999999999999</v>
      </c>
      <c r="N140" s="3">
        <f t="shared" si="18"/>
        <v>64857.560624999998</v>
      </c>
      <c r="O140" s="3">
        <f t="shared" si="19"/>
        <v>68183.589374999996</v>
      </c>
      <c r="P140">
        <f t="shared" si="22"/>
        <v>2063</v>
      </c>
      <c r="Q140">
        <f t="shared" si="23"/>
        <v>2143</v>
      </c>
    </row>
    <row r="141" spans="1:17" x14ac:dyDescent="0.25">
      <c r="A141" s="15" t="s">
        <v>302</v>
      </c>
      <c r="B141" s="5" t="s">
        <v>2780</v>
      </c>
      <c r="C141" s="5">
        <v>375</v>
      </c>
      <c r="D141" s="21">
        <v>52.300000000000004</v>
      </c>
      <c r="E141" s="24">
        <f>VLOOKUP(C141,'Taux unitaires'!H:I,2,FALSE)</f>
        <v>1534.5</v>
      </c>
      <c r="F141" s="25">
        <f t="shared" si="20"/>
        <v>80254.350000000006</v>
      </c>
      <c r="G141" s="26">
        <f>VLOOKUP(B141,'Durée de vie utile'!$C$20:$E$25,3,FALSE)</f>
        <v>100</v>
      </c>
      <c r="H141" s="26">
        <f>VLOOKUP('Conduite principale'!B141,'Durée de vie utile'!$C$20:$E$25,2,FALSE)</f>
        <v>70</v>
      </c>
      <c r="I141" s="25">
        <f t="shared" si="21"/>
        <v>1146.4907142857144</v>
      </c>
      <c r="J141" s="25">
        <f>(F141/(1+'Autres hypothèses'!$D$5))*('Autres hypothèses'!$D$5/(((1+'Autres hypothèses'!$D$5)^'Conduite principale'!H141-1)))</f>
        <v>789.25947218255703</v>
      </c>
      <c r="K141" s="26">
        <v>1983</v>
      </c>
      <c r="L141" s="22">
        <f t="shared" si="16"/>
        <v>39</v>
      </c>
      <c r="M141" s="1">
        <f t="shared" si="17"/>
        <v>0.55714285714285716</v>
      </c>
      <c r="N141" s="3">
        <f t="shared" si="18"/>
        <v>44713.137857142865</v>
      </c>
      <c r="O141" s="3">
        <f t="shared" si="19"/>
        <v>35541.212142857141</v>
      </c>
      <c r="P141">
        <f t="shared" si="22"/>
        <v>2053</v>
      </c>
      <c r="Q141">
        <f t="shared" si="23"/>
        <v>2123</v>
      </c>
    </row>
    <row r="142" spans="1:17" x14ac:dyDescent="0.25">
      <c r="A142" s="15" t="s">
        <v>303</v>
      </c>
      <c r="B142" s="5" t="s">
        <v>2781</v>
      </c>
      <c r="C142" s="5">
        <v>250</v>
      </c>
      <c r="D142" s="21">
        <v>17.200000000000003</v>
      </c>
      <c r="E142" s="24">
        <f>VLOOKUP(C142,'Taux unitaires'!H:I,2,FALSE)</f>
        <v>1488</v>
      </c>
      <c r="F142" s="25">
        <f t="shared" si="20"/>
        <v>25593.600000000006</v>
      </c>
      <c r="G142" s="26">
        <f>VLOOKUP(B142,'Durée de vie utile'!$C$20:$E$25,3,FALSE)</f>
        <v>100</v>
      </c>
      <c r="H142" s="26">
        <f>VLOOKUP('Conduite principale'!B142,'Durée de vie utile'!$C$20:$E$25,2,FALSE)</f>
        <v>80</v>
      </c>
      <c r="I142" s="25">
        <f t="shared" si="21"/>
        <v>319.92000000000007</v>
      </c>
      <c r="J142" s="25">
        <f>(F142/(1+'Autres hypothèses'!$D$5))*('Autres hypothèses'!$D$5/(((1+'Autres hypothèses'!$D$5)^'Conduite principale'!H142-1)))</f>
        <v>208.26728935170547</v>
      </c>
      <c r="K142" s="26">
        <v>1983</v>
      </c>
      <c r="L142" s="22">
        <f t="shared" si="16"/>
        <v>39</v>
      </c>
      <c r="M142" s="1">
        <f t="shared" si="17"/>
        <v>0.48749999999999999</v>
      </c>
      <c r="N142" s="3">
        <f t="shared" si="18"/>
        <v>12476.880000000003</v>
      </c>
      <c r="O142" s="3">
        <f t="shared" si="19"/>
        <v>13116.720000000003</v>
      </c>
      <c r="P142">
        <f t="shared" si="22"/>
        <v>2063</v>
      </c>
      <c r="Q142">
        <f t="shared" si="23"/>
        <v>2143</v>
      </c>
    </row>
    <row r="143" spans="1:17" x14ac:dyDescent="0.25">
      <c r="A143" s="15" t="s">
        <v>304</v>
      </c>
      <c r="B143" s="5" t="s">
        <v>2782</v>
      </c>
      <c r="C143" s="5">
        <v>250</v>
      </c>
      <c r="D143" s="21">
        <v>48.1</v>
      </c>
      <c r="E143" s="24">
        <f>VLOOKUP(C143,'Taux unitaires'!H:I,2,FALSE)</f>
        <v>1488</v>
      </c>
      <c r="F143" s="25">
        <f t="shared" si="20"/>
        <v>71572.800000000003</v>
      </c>
      <c r="G143" s="26">
        <f>VLOOKUP(B143,'Durée de vie utile'!$C$20:$E$25,3,FALSE)</f>
        <v>125</v>
      </c>
      <c r="H143" s="26">
        <f>VLOOKUP('Conduite principale'!B143,'Durée de vie utile'!$C$20:$E$25,2,FALSE)</f>
        <v>80</v>
      </c>
      <c r="I143" s="25">
        <f t="shared" si="21"/>
        <v>894.66000000000008</v>
      </c>
      <c r="J143" s="25">
        <f>(F143/(1+'Autres hypothèses'!$D$5))*('Autres hypothèses'!$D$5/(((1+'Autres hypothèses'!$D$5)^'Conduite principale'!H143-1)))</f>
        <v>582.4218963847112</v>
      </c>
      <c r="K143" s="26">
        <v>1990</v>
      </c>
      <c r="L143" s="22">
        <f t="shared" si="16"/>
        <v>32</v>
      </c>
      <c r="M143" s="1">
        <f t="shared" si="17"/>
        <v>0.4</v>
      </c>
      <c r="N143" s="3">
        <f t="shared" si="18"/>
        <v>28629.120000000003</v>
      </c>
      <c r="O143" s="3">
        <f t="shared" si="19"/>
        <v>42943.68</v>
      </c>
      <c r="P143">
        <f t="shared" si="22"/>
        <v>2070</v>
      </c>
      <c r="Q143">
        <f t="shared" si="23"/>
        <v>2150</v>
      </c>
    </row>
    <row r="144" spans="1:17" x14ac:dyDescent="0.25">
      <c r="A144" s="15" t="s">
        <v>305</v>
      </c>
      <c r="B144" s="5" t="s">
        <v>2783</v>
      </c>
      <c r="C144" s="5">
        <v>250</v>
      </c>
      <c r="D144" s="21">
        <v>86.8</v>
      </c>
      <c r="E144" s="24">
        <f>VLOOKUP(C144,'Taux unitaires'!H:I,2,FALSE)</f>
        <v>1488</v>
      </c>
      <c r="F144" s="25">
        <f t="shared" si="20"/>
        <v>129158.39999999999</v>
      </c>
      <c r="G144" s="26">
        <f>VLOOKUP(B144,'Durée de vie utile'!$C$20:$E$25,3,FALSE)</f>
        <v>125</v>
      </c>
      <c r="H144" s="26">
        <f>VLOOKUP('Conduite principale'!B144,'Durée de vie utile'!$C$20:$E$25,2,FALSE)</f>
        <v>90</v>
      </c>
      <c r="I144" s="25">
        <f t="shared" si="21"/>
        <v>1435.0933333333332</v>
      </c>
      <c r="J144" s="25">
        <f>(F144/(1+'Autres hypothèses'!$D$5))*('Autres hypothèses'!$D$5/(((1+'Autres hypothèses'!$D$5)^'Conduite principale'!H144-1)))</f>
        <v>882.76073153897755</v>
      </c>
      <c r="K144" s="26">
        <v>1990</v>
      </c>
      <c r="L144" s="22">
        <f t="shared" si="16"/>
        <v>32</v>
      </c>
      <c r="M144" s="1">
        <f t="shared" si="17"/>
        <v>0.35555555555555557</v>
      </c>
      <c r="N144" s="3">
        <f t="shared" si="18"/>
        <v>45922.986666666664</v>
      </c>
      <c r="O144" s="3">
        <f t="shared" si="19"/>
        <v>83235.41333333333</v>
      </c>
      <c r="P144">
        <f t="shared" si="22"/>
        <v>2080</v>
      </c>
      <c r="Q144">
        <f t="shared" si="23"/>
        <v>2170</v>
      </c>
    </row>
    <row r="145" spans="1:17" x14ac:dyDescent="0.25">
      <c r="A145" s="15" t="s">
        <v>306</v>
      </c>
      <c r="B145" s="5" t="s">
        <v>2784</v>
      </c>
      <c r="C145" s="5">
        <v>250</v>
      </c>
      <c r="D145" s="21">
        <v>67.099999999999994</v>
      </c>
      <c r="E145" s="24">
        <f>VLOOKUP(C145,'Taux unitaires'!H:I,2,FALSE)</f>
        <v>1488</v>
      </c>
      <c r="F145" s="25">
        <f t="shared" si="20"/>
        <v>99844.799999999988</v>
      </c>
      <c r="G145" s="26">
        <f>VLOOKUP(B145,'Durée de vie utile'!$C$20:$E$25,3,FALSE)</f>
        <v>100</v>
      </c>
      <c r="H145" s="26">
        <f>VLOOKUP('Conduite principale'!B145,'Durée de vie utile'!$C$20:$E$25,2,FALSE)</f>
        <v>70</v>
      </c>
      <c r="I145" s="25">
        <f t="shared" si="21"/>
        <v>1426.3542857142857</v>
      </c>
      <c r="J145" s="25">
        <f>(F145/(1+'Autres hypothèses'!$D$5))*('Autres hypothèses'!$D$5/(((1+'Autres hypothèses'!$D$5)^'Conduite principale'!H145-1)))</f>
        <v>981.92128087976494</v>
      </c>
      <c r="K145" s="26">
        <v>1990</v>
      </c>
      <c r="L145" s="22">
        <f t="shared" si="16"/>
        <v>32</v>
      </c>
      <c r="M145" s="1">
        <f t="shared" si="17"/>
        <v>0.45714285714285713</v>
      </c>
      <c r="N145" s="3">
        <f t="shared" si="18"/>
        <v>45643.337142857134</v>
      </c>
      <c r="O145" s="3">
        <f t="shared" si="19"/>
        <v>54201.462857142855</v>
      </c>
      <c r="P145">
        <f t="shared" si="22"/>
        <v>2060</v>
      </c>
      <c r="Q145">
        <f t="shared" si="23"/>
        <v>2130</v>
      </c>
    </row>
    <row r="146" spans="1:17" x14ac:dyDescent="0.25">
      <c r="A146" s="15" t="s">
        <v>307</v>
      </c>
      <c r="B146" s="5" t="s">
        <v>2785</v>
      </c>
      <c r="C146" s="5">
        <v>450</v>
      </c>
      <c r="D146" s="21">
        <v>93</v>
      </c>
      <c r="E146" s="24">
        <f>VLOOKUP(C146,'Taux unitaires'!H:I,2,FALSE)</f>
        <v>1581</v>
      </c>
      <c r="F146" s="25">
        <f t="shared" si="20"/>
        <v>147033</v>
      </c>
      <c r="G146" s="26">
        <f>VLOOKUP(B146,'Durée de vie utile'!$C$20:$E$25,3,FALSE)</f>
        <v>125</v>
      </c>
      <c r="H146" s="26">
        <f>VLOOKUP('Conduite principale'!B146,'Durée de vie utile'!$C$20:$E$25,2,FALSE)</f>
        <v>80</v>
      </c>
      <c r="I146" s="25">
        <f t="shared" si="21"/>
        <v>1837.9124999999999</v>
      </c>
      <c r="J146" s="25">
        <f>(F146/(1+'Autres hypothèses'!$D$5))*('Autres hypothèses'!$D$5/(((1+'Autres hypothèses'!$D$5)^'Conduite principale'!H146-1)))</f>
        <v>1196.477414480546</v>
      </c>
      <c r="K146" s="26">
        <v>1990</v>
      </c>
      <c r="L146" s="22">
        <f t="shared" si="16"/>
        <v>32</v>
      </c>
      <c r="M146" s="1">
        <f t="shared" si="17"/>
        <v>0.4</v>
      </c>
      <c r="N146" s="3">
        <f t="shared" si="18"/>
        <v>58813.200000000004</v>
      </c>
      <c r="O146" s="3">
        <f t="shared" si="19"/>
        <v>88219.799999999988</v>
      </c>
      <c r="P146">
        <f t="shared" si="22"/>
        <v>2070</v>
      </c>
      <c r="Q146">
        <f t="shared" si="23"/>
        <v>2150</v>
      </c>
    </row>
    <row r="147" spans="1:17" x14ac:dyDescent="0.25">
      <c r="A147" s="15" t="s">
        <v>308</v>
      </c>
      <c r="B147" s="5" t="s">
        <v>2786</v>
      </c>
      <c r="C147" s="5">
        <v>450</v>
      </c>
      <c r="D147" s="21">
        <v>87.899999999999991</v>
      </c>
      <c r="E147" s="24">
        <f>VLOOKUP(C147,'Taux unitaires'!H:I,2,FALSE)</f>
        <v>1581</v>
      </c>
      <c r="F147" s="25">
        <f t="shared" si="20"/>
        <v>138969.9</v>
      </c>
      <c r="G147" s="26">
        <f>VLOOKUP(B147,'Durée de vie utile'!$C$20:$E$25,3,FALSE)</f>
        <v>100</v>
      </c>
      <c r="H147" s="26">
        <f>VLOOKUP('Conduite principale'!B147,'Durée de vie utile'!$C$20:$E$25,2,FALSE)</f>
        <v>70</v>
      </c>
      <c r="I147" s="25">
        <f t="shared" si="21"/>
        <v>1985.2842857142857</v>
      </c>
      <c r="J147" s="25">
        <f>(F147/(1+'Autres hypothèses'!$D$5))*('Autres hypothèses'!$D$5/(((1+'Autres hypothèses'!$D$5)^'Conduite principale'!H147-1)))</f>
        <v>1366.6961345181005</v>
      </c>
      <c r="K147" s="26">
        <v>1988</v>
      </c>
      <c r="L147" s="22">
        <f t="shared" si="16"/>
        <v>34</v>
      </c>
      <c r="M147" s="1">
        <f t="shared" si="17"/>
        <v>0.48571428571428571</v>
      </c>
      <c r="N147" s="3">
        <f t="shared" si="18"/>
        <v>67499.665714285715</v>
      </c>
      <c r="O147" s="3">
        <f t="shared" si="19"/>
        <v>71470.234285714279</v>
      </c>
      <c r="P147">
        <f t="shared" si="22"/>
        <v>2058</v>
      </c>
      <c r="Q147">
        <f t="shared" si="23"/>
        <v>2128</v>
      </c>
    </row>
    <row r="148" spans="1:17" x14ac:dyDescent="0.25">
      <c r="A148" s="15" t="s">
        <v>309</v>
      </c>
      <c r="B148" s="5" t="s">
        <v>2787</v>
      </c>
      <c r="C148" s="5">
        <v>200</v>
      </c>
      <c r="D148" s="21">
        <v>78</v>
      </c>
      <c r="E148" s="24">
        <f>VLOOKUP(C148,'Taux unitaires'!H:I,2,FALSE)</f>
        <v>1441.5</v>
      </c>
      <c r="F148" s="25">
        <f t="shared" si="20"/>
        <v>112437</v>
      </c>
      <c r="G148" s="26">
        <f>VLOOKUP(B148,'Durée de vie utile'!$C$20:$E$25,3,FALSE)</f>
        <v>125</v>
      </c>
      <c r="H148" s="26">
        <f>VLOOKUP('Conduite principale'!B148,'Durée de vie utile'!$C$20:$E$25,2,FALSE)</f>
        <v>90</v>
      </c>
      <c r="I148" s="25">
        <f t="shared" si="21"/>
        <v>1249.3</v>
      </c>
      <c r="J148" s="25">
        <f>(F148/(1+'Autres hypothèses'!$D$5))*('Autres hypothèses'!$D$5/(((1+'Autres hypothèses'!$D$5)^'Conduite principale'!H148-1)))</f>
        <v>768.47474397366352</v>
      </c>
      <c r="K148" s="26">
        <v>1990</v>
      </c>
      <c r="L148" s="22">
        <f t="shared" si="16"/>
        <v>32</v>
      </c>
      <c r="M148" s="1">
        <f t="shared" si="17"/>
        <v>0.35555555555555557</v>
      </c>
      <c r="N148" s="3">
        <f t="shared" si="18"/>
        <v>39977.599999999999</v>
      </c>
      <c r="O148" s="3">
        <f t="shared" si="19"/>
        <v>72459.399999999994</v>
      </c>
      <c r="P148">
        <f t="shared" si="22"/>
        <v>2080</v>
      </c>
      <c r="Q148">
        <f t="shared" si="23"/>
        <v>2170</v>
      </c>
    </row>
    <row r="149" spans="1:17" x14ac:dyDescent="0.25">
      <c r="A149" s="15" t="s">
        <v>310</v>
      </c>
      <c r="B149" s="5" t="s">
        <v>2788</v>
      </c>
      <c r="C149" s="5">
        <v>375</v>
      </c>
      <c r="D149" s="21">
        <v>47.7</v>
      </c>
      <c r="E149" s="24">
        <f>VLOOKUP(C149,'Taux unitaires'!H:I,2,FALSE)</f>
        <v>1534.5</v>
      </c>
      <c r="F149" s="25">
        <f t="shared" si="20"/>
        <v>73195.650000000009</v>
      </c>
      <c r="G149" s="26">
        <f>VLOOKUP(B149,'Durée de vie utile'!$C$20:$E$25,3,FALSE)</f>
        <v>100</v>
      </c>
      <c r="H149" s="26">
        <f>VLOOKUP('Conduite principale'!B149,'Durée de vie utile'!$C$20:$E$25,2,FALSE)</f>
        <v>70</v>
      </c>
      <c r="I149" s="25">
        <f t="shared" si="21"/>
        <v>1045.652142857143</v>
      </c>
      <c r="J149" s="25">
        <f>(F149/(1+'Autres hypothèses'!$D$5))*('Autres hypothèses'!$D$5/(((1+'Autres hypothèses'!$D$5)^'Conduite principale'!H149-1)))</f>
        <v>719.84085703839332</v>
      </c>
      <c r="K149" s="26">
        <v>1991</v>
      </c>
      <c r="L149" s="22">
        <f t="shared" si="16"/>
        <v>31</v>
      </c>
      <c r="M149" s="1">
        <f t="shared" si="17"/>
        <v>0.44285714285714284</v>
      </c>
      <c r="N149" s="3">
        <f t="shared" si="18"/>
        <v>32415.216428571432</v>
      </c>
      <c r="O149" s="3">
        <f t="shared" si="19"/>
        <v>40780.433571428577</v>
      </c>
      <c r="P149">
        <f t="shared" si="22"/>
        <v>2061</v>
      </c>
      <c r="Q149">
        <f t="shared" si="23"/>
        <v>2131</v>
      </c>
    </row>
    <row r="150" spans="1:17" x14ac:dyDescent="0.25">
      <c r="A150" s="15" t="s">
        <v>311</v>
      </c>
      <c r="B150" s="5" t="s">
        <v>2789</v>
      </c>
      <c r="C150" s="5">
        <v>375</v>
      </c>
      <c r="D150" s="21">
        <v>69.599999999999994</v>
      </c>
      <c r="E150" s="24">
        <f>VLOOKUP(C150,'Taux unitaires'!H:I,2,FALSE)</f>
        <v>1534.5</v>
      </c>
      <c r="F150" s="25">
        <f t="shared" si="20"/>
        <v>106801.2</v>
      </c>
      <c r="G150" s="26">
        <f>VLOOKUP(B150,'Durée de vie utile'!$C$20:$E$25,3,FALSE)</f>
        <v>100</v>
      </c>
      <c r="H150" s="26">
        <f>VLOOKUP('Conduite principale'!B150,'Durée de vie utile'!$C$20:$E$25,2,FALSE)</f>
        <v>70</v>
      </c>
      <c r="I150" s="25">
        <f t="shared" si="21"/>
        <v>1525.7314285714285</v>
      </c>
      <c r="J150" s="25">
        <f>(F150/(1+'Autres hypothèses'!$D$5))*('Autres hypothèses'!$D$5/(((1+'Autres hypothèses'!$D$5)^'Conduite principale'!H150-1)))</f>
        <v>1050.3338291377813</v>
      </c>
      <c r="K150" s="26">
        <v>1991</v>
      </c>
      <c r="L150" s="22">
        <f t="shared" si="16"/>
        <v>31</v>
      </c>
      <c r="M150" s="1">
        <f t="shared" si="17"/>
        <v>0.44285714285714284</v>
      </c>
      <c r="N150" s="3">
        <f t="shared" si="18"/>
        <v>47297.674285714282</v>
      </c>
      <c r="O150" s="3">
        <f t="shared" si="19"/>
        <v>59503.525714285715</v>
      </c>
      <c r="P150">
        <f t="shared" si="22"/>
        <v>2061</v>
      </c>
      <c r="Q150">
        <f t="shared" si="23"/>
        <v>2131</v>
      </c>
    </row>
    <row r="151" spans="1:17" x14ac:dyDescent="0.25">
      <c r="A151" s="15" t="s">
        <v>312</v>
      </c>
      <c r="B151" s="5" t="s">
        <v>2790</v>
      </c>
      <c r="C151" s="5">
        <v>200</v>
      </c>
      <c r="D151" s="21">
        <v>91</v>
      </c>
      <c r="E151" s="24">
        <f>VLOOKUP(C151,'Taux unitaires'!H:I,2,FALSE)</f>
        <v>1441.5</v>
      </c>
      <c r="F151" s="25">
        <f t="shared" si="20"/>
        <v>131176.5</v>
      </c>
      <c r="G151" s="26">
        <f>VLOOKUP(B151,'Durée de vie utile'!$C$20:$E$25,3,FALSE)</f>
        <v>125</v>
      </c>
      <c r="H151" s="26">
        <f>VLOOKUP('Conduite principale'!B151,'Durée de vie utile'!$C$20:$E$25,2,FALSE)</f>
        <v>80</v>
      </c>
      <c r="I151" s="25">
        <f t="shared" si="21"/>
        <v>1639.70625</v>
      </c>
      <c r="J151" s="25">
        <f>(F151/(1+'Autres hypothèses'!$D$5))*('Autres hypothèses'!$D$5/(((1+'Autres hypothèses'!$D$5)^'Conduite principale'!H151-1)))</f>
        <v>1067.4455364483304</v>
      </c>
      <c r="K151" s="26">
        <v>1991</v>
      </c>
      <c r="L151" s="22">
        <f t="shared" si="16"/>
        <v>31</v>
      </c>
      <c r="M151" s="1">
        <f t="shared" si="17"/>
        <v>0.38750000000000001</v>
      </c>
      <c r="N151" s="3">
        <f t="shared" si="18"/>
        <v>50830.893750000003</v>
      </c>
      <c r="O151" s="3">
        <f t="shared" si="19"/>
        <v>80345.606249999997</v>
      </c>
      <c r="P151">
        <f t="shared" si="22"/>
        <v>2071</v>
      </c>
      <c r="Q151">
        <f t="shared" si="23"/>
        <v>2151</v>
      </c>
    </row>
    <row r="152" spans="1:17" x14ac:dyDescent="0.25">
      <c r="A152" s="15" t="s">
        <v>313</v>
      </c>
      <c r="B152" s="5" t="s">
        <v>2791</v>
      </c>
      <c r="C152" s="5">
        <v>200</v>
      </c>
      <c r="D152" s="21">
        <v>87.3</v>
      </c>
      <c r="E152" s="24">
        <f>VLOOKUP(C152,'Taux unitaires'!H:I,2,FALSE)</f>
        <v>1441.5</v>
      </c>
      <c r="F152" s="25">
        <f t="shared" si="20"/>
        <v>125842.95</v>
      </c>
      <c r="G152" s="26">
        <f>VLOOKUP(B152,'Durée de vie utile'!$C$20:$E$25,3,FALSE)</f>
        <v>100</v>
      </c>
      <c r="H152" s="26">
        <f>VLOOKUP('Conduite principale'!B152,'Durée de vie utile'!$C$20:$E$25,2,FALSE)</f>
        <v>70</v>
      </c>
      <c r="I152" s="25">
        <f t="shared" si="21"/>
        <v>1797.7564285714286</v>
      </c>
      <c r="J152" s="25">
        <f>(F152/(1+'Autres hypothèses'!$D$5))*('Autres hypothèses'!$D$5/(((1+'Autres hypothèses'!$D$5)^'Conduite principale'!H152-1)))</f>
        <v>1237.5994609001993</v>
      </c>
      <c r="K152" s="26">
        <v>1991</v>
      </c>
      <c r="L152" s="22">
        <f t="shared" si="16"/>
        <v>31</v>
      </c>
      <c r="M152" s="1">
        <f t="shared" si="17"/>
        <v>0.44285714285714284</v>
      </c>
      <c r="N152" s="3">
        <f t="shared" si="18"/>
        <v>55730.449285714283</v>
      </c>
      <c r="O152" s="3">
        <f t="shared" si="19"/>
        <v>70112.500714285707</v>
      </c>
      <c r="P152">
        <f t="shared" si="22"/>
        <v>2061</v>
      </c>
      <c r="Q152">
        <f t="shared" si="23"/>
        <v>2131</v>
      </c>
    </row>
    <row r="153" spans="1:17" x14ac:dyDescent="0.25">
      <c r="A153" s="15" t="s">
        <v>314</v>
      </c>
      <c r="B153" s="5" t="s">
        <v>2792</v>
      </c>
      <c r="C153" s="5">
        <v>200</v>
      </c>
      <c r="D153" s="21">
        <v>95.6</v>
      </c>
      <c r="E153" s="24">
        <f>VLOOKUP(C153,'Taux unitaires'!H:I,2,FALSE)</f>
        <v>1441.5</v>
      </c>
      <c r="F153" s="25">
        <f t="shared" si="20"/>
        <v>137807.4</v>
      </c>
      <c r="G153" s="26">
        <f>VLOOKUP(B153,'Durée de vie utile'!$C$20:$E$25,3,FALSE)</f>
        <v>125</v>
      </c>
      <c r="H153" s="26">
        <f>VLOOKUP('Conduite principale'!B153,'Durée de vie utile'!$C$20:$E$25,2,FALSE)</f>
        <v>90</v>
      </c>
      <c r="I153" s="25">
        <f t="shared" si="21"/>
        <v>1531.1933333333332</v>
      </c>
      <c r="J153" s="25">
        <f>(F153/(1+'Autres hypothèses'!$D$5))*('Autres hypothèses'!$D$5/(((1+'Autres hypothèses'!$D$5)^'Conduite principale'!H153-1)))</f>
        <v>941.87417338310559</v>
      </c>
      <c r="K153" s="26">
        <v>1991</v>
      </c>
      <c r="L153" s="22">
        <f t="shared" si="16"/>
        <v>31</v>
      </c>
      <c r="M153" s="1">
        <f t="shared" si="17"/>
        <v>0.34444444444444444</v>
      </c>
      <c r="N153" s="3">
        <f t="shared" si="18"/>
        <v>47466.993333333332</v>
      </c>
      <c r="O153" s="3">
        <f t="shared" si="19"/>
        <v>90340.406666666662</v>
      </c>
      <c r="P153">
        <f t="shared" si="22"/>
        <v>2081</v>
      </c>
      <c r="Q153">
        <f t="shared" si="23"/>
        <v>2171</v>
      </c>
    </row>
    <row r="154" spans="1:17" x14ac:dyDescent="0.25">
      <c r="A154" s="15" t="s">
        <v>315</v>
      </c>
      <c r="B154" s="5" t="s">
        <v>2793</v>
      </c>
      <c r="C154" s="5">
        <v>200</v>
      </c>
      <c r="D154" s="21">
        <v>31.900000000000002</v>
      </c>
      <c r="E154" s="24">
        <f>VLOOKUP(C154,'Taux unitaires'!H:I,2,FALSE)</f>
        <v>1441.5</v>
      </c>
      <c r="F154" s="25">
        <f t="shared" si="20"/>
        <v>45983.850000000006</v>
      </c>
      <c r="G154" s="26">
        <f>VLOOKUP(B154,'Durée de vie utile'!$C$20:$E$25,3,FALSE)</f>
        <v>100</v>
      </c>
      <c r="H154" s="26">
        <f>VLOOKUP('Conduite principale'!B154,'Durée de vie utile'!$C$20:$E$25,2,FALSE)</f>
        <v>70</v>
      </c>
      <c r="I154" s="25">
        <f t="shared" si="21"/>
        <v>656.91214285714295</v>
      </c>
      <c r="J154" s="25">
        <f>(F154/(1+'Autres hypothèses'!$D$5))*('Autres hypothèses'!$D$5/(((1+'Autres hypothèses'!$D$5)^'Conduite principale'!H154-1)))</f>
        <v>452.22706532321149</v>
      </c>
      <c r="K154" s="26">
        <v>1992</v>
      </c>
      <c r="L154" s="22">
        <f t="shared" si="16"/>
        <v>30</v>
      </c>
      <c r="M154" s="1">
        <f t="shared" si="17"/>
        <v>0.42857142857142855</v>
      </c>
      <c r="N154" s="3">
        <f t="shared" si="18"/>
        <v>19707.364285714288</v>
      </c>
      <c r="O154" s="3">
        <f t="shared" si="19"/>
        <v>26276.485714285718</v>
      </c>
      <c r="P154">
        <f t="shared" si="22"/>
        <v>2062</v>
      </c>
      <c r="Q154">
        <f t="shared" si="23"/>
        <v>2132</v>
      </c>
    </row>
    <row r="155" spans="1:17" x14ac:dyDescent="0.25">
      <c r="A155" s="15" t="s">
        <v>316</v>
      </c>
      <c r="B155" s="5" t="s">
        <v>2794</v>
      </c>
      <c r="C155" s="5">
        <v>750</v>
      </c>
      <c r="D155" s="21">
        <v>83.399999999999991</v>
      </c>
      <c r="E155" s="24">
        <f>VLOOKUP(C155,'Taux unitaires'!H:I,2,FALSE)</f>
        <v>1767</v>
      </c>
      <c r="F155" s="25">
        <f t="shared" si="20"/>
        <v>147367.79999999999</v>
      </c>
      <c r="G155" s="26">
        <f>VLOOKUP(B155,'Durée de vie utile'!$C$20:$E$25,3,FALSE)</f>
        <v>125</v>
      </c>
      <c r="H155" s="26">
        <f>VLOOKUP('Conduite principale'!B155,'Durée de vie utile'!$C$20:$E$25,2,FALSE)</f>
        <v>80</v>
      </c>
      <c r="I155" s="25">
        <f t="shared" si="21"/>
        <v>1842.0974999999999</v>
      </c>
      <c r="J155" s="25">
        <f>(F155/(1+'Autres hypothèses'!$D$5))*('Autres hypothèses'!$D$5/(((1+'Autres hypothèses'!$D$5)^'Conduite principale'!H155-1)))</f>
        <v>1199.2018412307862</v>
      </c>
      <c r="K155" s="26">
        <v>1991</v>
      </c>
      <c r="L155" s="22">
        <f t="shared" si="16"/>
        <v>31</v>
      </c>
      <c r="M155" s="1">
        <f t="shared" si="17"/>
        <v>0.38750000000000001</v>
      </c>
      <c r="N155" s="3">
        <f t="shared" si="18"/>
        <v>57105.022499999999</v>
      </c>
      <c r="O155" s="3">
        <f t="shared" si="19"/>
        <v>90262.777499999997</v>
      </c>
      <c r="P155">
        <f t="shared" si="22"/>
        <v>2071</v>
      </c>
      <c r="Q155">
        <f t="shared" si="23"/>
        <v>2151</v>
      </c>
    </row>
    <row r="156" spans="1:17" x14ac:dyDescent="0.25">
      <c r="A156" s="15" t="s">
        <v>317</v>
      </c>
      <c r="B156" s="5" t="s">
        <v>2795</v>
      </c>
      <c r="C156" s="5">
        <v>300</v>
      </c>
      <c r="D156" s="21">
        <v>49.4</v>
      </c>
      <c r="E156" s="24">
        <f>VLOOKUP(C156,'Taux unitaires'!H:I,2,FALSE)</f>
        <v>1534.5</v>
      </c>
      <c r="F156" s="25">
        <f t="shared" si="20"/>
        <v>75804.3</v>
      </c>
      <c r="G156" s="26">
        <f>VLOOKUP(B156,'Durée de vie utile'!$C$20:$E$25,3,FALSE)</f>
        <v>125</v>
      </c>
      <c r="H156" s="26">
        <f>VLOOKUP('Conduite principale'!B156,'Durée de vie utile'!$C$20:$E$25,2,FALSE)</f>
        <v>90</v>
      </c>
      <c r="I156" s="25">
        <f t="shared" si="21"/>
        <v>842.27</v>
      </c>
      <c r="J156" s="25">
        <f>(F156/(1+'Autres hypothèses'!$D$5))*('Autres hypothèses'!$D$5/(((1+'Autres hypothèses'!$D$5)^'Conduite principale'!H156-1)))</f>
        <v>518.10071448547001</v>
      </c>
      <c r="K156" s="26">
        <v>1991</v>
      </c>
      <c r="L156" s="22">
        <f t="shared" si="16"/>
        <v>31</v>
      </c>
      <c r="M156" s="1">
        <f t="shared" si="17"/>
        <v>0.34444444444444444</v>
      </c>
      <c r="N156" s="3">
        <f t="shared" si="18"/>
        <v>26110.370000000003</v>
      </c>
      <c r="O156" s="3">
        <f t="shared" si="19"/>
        <v>49693.93</v>
      </c>
      <c r="P156">
        <f t="shared" si="22"/>
        <v>2081</v>
      </c>
      <c r="Q156">
        <f t="shared" si="23"/>
        <v>2171</v>
      </c>
    </row>
    <row r="157" spans="1:17" x14ac:dyDescent="0.25">
      <c r="A157" s="15" t="s">
        <v>318</v>
      </c>
      <c r="B157" s="5" t="s">
        <v>2796</v>
      </c>
      <c r="C157" s="5">
        <v>300</v>
      </c>
      <c r="D157" s="21">
        <v>91.699999999999989</v>
      </c>
      <c r="E157" s="24">
        <f>VLOOKUP(C157,'Taux unitaires'!H:I,2,FALSE)</f>
        <v>1534.5</v>
      </c>
      <c r="F157" s="25">
        <f t="shared" si="20"/>
        <v>140713.65</v>
      </c>
      <c r="G157" s="26">
        <f>VLOOKUP(B157,'Durée de vie utile'!$C$20:$E$25,3,FALSE)</f>
        <v>100</v>
      </c>
      <c r="H157" s="26">
        <f>VLOOKUP('Conduite principale'!B157,'Durée de vie utile'!$C$20:$E$25,2,FALSE)</f>
        <v>70</v>
      </c>
      <c r="I157" s="25">
        <f t="shared" si="21"/>
        <v>2010.1949999999999</v>
      </c>
      <c r="J157" s="25">
        <f>(F157/(1+'Autres hypothèses'!$D$5))*('Autres hypothèses'!$D$5/(((1+'Autres hypothèses'!$D$5)^'Conduite principale'!H157-1)))</f>
        <v>1383.8450018956114</v>
      </c>
      <c r="K157" s="26">
        <v>1992</v>
      </c>
      <c r="L157" s="22">
        <f t="shared" si="16"/>
        <v>30</v>
      </c>
      <c r="M157" s="1">
        <f t="shared" si="17"/>
        <v>0.42857142857142855</v>
      </c>
      <c r="N157" s="3">
        <f t="shared" si="18"/>
        <v>60305.849999999991</v>
      </c>
      <c r="O157" s="3">
        <f t="shared" si="19"/>
        <v>80407.8</v>
      </c>
      <c r="P157">
        <f t="shared" si="22"/>
        <v>2062</v>
      </c>
      <c r="Q157">
        <f t="shared" si="23"/>
        <v>2132</v>
      </c>
    </row>
    <row r="158" spans="1:17" x14ac:dyDescent="0.25">
      <c r="A158" s="15" t="s">
        <v>319</v>
      </c>
      <c r="B158" s="5" t="s">
        <v>2797</v>
      </c>
      <c r="C158" s="5">
        <v>375</v>
      </c>
      <c r="D158" s="21">
        <v>86</v>
      </c>
      <c r="E158" s="24">
        <f>VLOOKUP(C158,'Taux unitaires'!H:I,2,FALSE)</f>
        <v>1534.5</v>
      </c>
      <c r="F158" s="25">
        <f t="shared" si="20"/>
        <v>131967</v>
      </c>
      <c r="G158" s="26">
        <f>VLOOKUP(B158,'Durée de vie utile'!$C$20:$E$25,3,FALSE)</f>
        <v>100</v>
      </c>
      <c r="H158" s="26">
        <f>VLOOKUP('Conduite principale'!B158,'Durée de vie utile'!$C$20:$E$25,2,FALSE)</f>
        <v>70</v>
      </c>
      <c r="I158" s="25">
        <f t="shared" si="21"/>
        <v>1885.2428571428572</v>
      </c>
      <c r="J158" s="25">
        <f>(F158/(1+'Autres hypothèses'!$D$5))*('Autres hypothèses'!$D$5/(((1+'Autres hypothèses'!$D$5)^'Conduite principale'!H158-1)))</f>
        <v>1297.8262831300171</v>
      </c>
      <c r="K158" s="26">
        <v>1992</v>
      </c>
      <c r="L158" s="22">
        <f t="shared" si="16"/>
        <v>30</v>
      </c>
      <c r="M158" s="1">
        <f t="shared" si="17"/>
        <v>0.42857142857142855</v>
      </c>
      <c r="N158" s="3">
        <f t="shared" si="18"/>
        <v>56557.28571428571</v>
      </c>
      <c r="O158" s="3">
        <f t="shared" si="19"/>
        <v>75409.71428571429</v>
      </c>
      <c r="P158">
        <f t="shared" si="22"/>
        <v>2062</v>
      </c>
      <c r="Q158">
        <f t="shared" si="23"/>
        <v>2132</v>
      </c>
    </row>
    <row r="159" spans="1:17" x14ac:dyDescent="0.25">
      <c r="A159" s="15" t="s">
        <v>320</v>
      </c>
      <c r="B159" s="5" t="s">
        <v>2798</v>
      </c>
      <c r="C159" s="5">
        <v>375</v>
      </c>
      <c r="D159" s="21">
        <v>23.900000000000002</v>
      </c>
      <c r="E159" s="24">
        <f>VLOOKUP(C159,'Taux unitaires'!H:I,2,FALSE)</f>
        <v>1534.5</v>
      </c>
      <c r="F159" s="25">
        <f t="shared" si="20"/>
        <v>36674.550000000003</v>
      </c>
      <c r="G159" s="26">
        <f>VLOOKUP(B159,'Durée de vie utile'!$C$20:$E$25,3,FALSE)</f>
        <v>125</v>
      </c>
      <c r="H159" s="26">
        <f>VLOOKUP('Conduite principale'!B159,'Durée de vie utile'!$C$20:$E$25,2,FALSE)</f>
        <v>80</v>
      </c>
      <c r="I159" s="25">
        <f t="shared" si="21"/>
        <v>458.43187500000005</v>
      </c>
      <c r="J159" s="25">
        <f>(F159/(1+'Autres hypothèses'!$D$5))*('Autres hypothèses'!$D$5/(((1+'Autres hypothèses'!$D$5)^'Conduite principale'!H159-1)))</f>
        <v>298.43824693257642</v>
      </c>
      <c r="K159" s="26">
        <v>1992</v>
      </c>
      <c r="L159" s="22">
        <f t="shared" si="16"/>
        <v>30</v>
      </c>
      <c r="M159" s="1">
        <f t="shared" si="17"/>
        <v>0.375</v>
      </c>
      <c r="N159" s="3">
        <f t="shared" si="18"/>
        <v>13752.956250000001</v>
      </c>
      <c r="O159" s="3">
        <f t="shared" si="19"/>
        <v>22921.59375</v>
      </c>
      <c r="P159">
        <f t="shared" si="22"/>
        <v>2072</v>
      </c>
      <c r="Q159">
        <f t="shared" si="23"/>
        <v>2152</v>
      </c>
    </row>
    <row r="160" spans="1:17" x14ac:dyDescent="0.25">
      <c r="A160" s="15" t="s">
        <v>321</v>
      </c>
      <c r="B160" s="5" t="s">
        <v>2799</v>
      </c>
      <c r="C160" s="5">
        <v>450</v>
      </c>
      <c r="D160" s="21">
        <v>90.199999999999989</v>
      </c>
      <c r="E160" s="24">
        <f>VLOOKUP(C160,'Taux unitaires'!H:I,2,FALSE)</f>
        <v>1581</v>
      </c>
      <c r="F160" s="25">
        <f t="shared" si="20"/>
        <v>142606.19999999998</v>
      </c>
      <c r="G160" s="26">
        <f>VLOOKUP(B160,'Durée de vie utile'!$C$20:$E$25,3,FALSE)</f>
        <v>100</v>
      </c>
      <c r="H160" s="26">
        <f>VLOOKUP('Conduite principale'!B160,'Durée de vie utile'!$C$20:$E$25,2,FALSE)</f>
        <v>70</v>
      </c>
      <c r="I160" s="25">
        <f t="shared" si="21"/>
        <v>2037.2314285714283</v>
      </c>
      <c r="J160" s="25">
        <f>(F160/(1+'Autres hypothèses'!$D$5))*('Autres hypothèses'!$D$5/(((1+'Autres hypothèses'!$D$5)^'Conduite principale'!H160-1)))</f>
        <v>1402.4572392893363</v>
      </c>
      <c r="K160" s="26">
        <v>1992</v>
      </c>
      <c r="L160" s="22">
        <f t="shared" si="16"/>
        <v>30</v>
      </c>
      <c r="M160" s="1">
        <f t="shared" si="17"/>
        <v>0.42857142857142855</v>
      </c>
      <c r="N160" s="3">
        <f t="shared" si="18"/>
        <v>61116.942857142843</v>
      </c>
      <c r="O160" s="3">
        <f t="shared" si="19"/>
        <v>81489.257142857139</v>
      </c>
      <c r="P160">
        <f t="shared" si="22"/>
        <v>2062</v>
      </c>
      <c r="Q160">
        <f t="shared" si="23"/>
        <v>2132</v>
      </c>
    </row>
    <row r="161" spans="1:17" x14ac:dyDescent="0.25">
      <c r="A161" s="15" t="s">
        <v>322</v>
      </c>
      <c r="B161" s="5" t="s">
        <v>2800</v>
      </c>
      <c r="C161" s="5">
        <v>750</v>
      </c>
      <c r="D161" s="21">
        <v>83.199999999999989</v>
      </c>
      <c r="E161" s="24">
        <f>VLOOKUP(C161,'Taux unitaires'!H:I,2,FALSE)</f>
        <v>1767</v>
      </c>
      <c r="F161" s="25">
        <f t="shared" si="20"/>
        <v>147014.39999999999</v>
      </c>
      <c r="G161" s="26">
        <f>VLOOKUP(B161,'Durée de vie utile'!$C$20:$E$25,3,FALSE)</f>
        <v>125</v>
      </c>
      <c r="H161" s="26">
        <f>VLOOKUP('Conduite principale'!B161,'Durée de vie utile'!$C$20:$E$25,2,FALSE)</f>
        <v>80</v>
      </c>
      <c r="I161" s="25">
        <f t="shared" si="21"/>
        <v>1837.6799999999998</v>
      </c>
      <c r="J161" s="25">
        <f>(F161/(1+'Autres hypothèses'!$D$5))*('Autres hypothèses'!$D$5/(((1+'Autres hypothèses'!$D$5)^'Conduite principale'!H161-1)))</f>
        <v>1196.326057438866</v>
      </c>
      <c r="K161" s="26">
        <v>1992</v>
      </c>
      <c r="L161" s="22">
        <f t="shared" si="16"/>
        <v>30</v>
      </c>
      <c r="M161" s="1">
        <f t="shared" si="17"/>
        <v>0.375</v>
      </c>
      <c r="N161" s="3">
        <f t="shared" si="18"/>
        <v>55130.399999999994</v>
      </c>
      <c r="O161" s="3">
        <f t="shared" si="19"/>
        <v>91884</v>
      </c>
      <c r="P161">
        <f t="shared" si="22"/>
        <v>2072</v>
      </c>
      <c r="Q161">
        <f t="shared" si="23"/>
        <v>2152</v>
      </c>
    </row>
    <row r="162" spans="1:17" x14ac:dyDescent="0.25">
      <c r="A162" s="15" t="s">
        <v>323</v>
      </c>
      <c r="B162" s="5" t="s">
        <v>2801</v>
      </c>
      <c r="C162" s="5">
        <v>375</v>
      </c>
      <c r="D162" s="21">
        <v>56.1</v>
      </c>
      <c r="E162" s="24">
        <f>VLOOKUP(C162,'Taux unitaires'!H:I,2,FALSE)</f>
        <v>1534.5</v>
      </c>
      <c r="F162" s="25">
        <f t="shared" si="20"/>
        <v>86085.45</v>
      </c>
      <c r="G162" s="26">
        <f>VLOOKUP(B162,'Durée de vie utile'!$C$20:$E$25,3,FALSE)</f>
        <v>100</v>
      </c>
      <c r="H162" s="26">
        <f>VLOOKUP('Conduite principale'!B162,'Durée de vie utile'!$C$20:$E$25,2,FALSE)</f>
        <v>70</v>
      </c>
      <c r="I162" s="25">
        <f t="shared" si="21"/>
        <v>1229.7921428571428</v>
      </c>
      <c r="J162" s="25">
        <f>(F162/(1+'Autres hypothèses'!$D$5))*('Autres hypothèses'!$D$5/(((1+'Autres hypothèses'!$D$5)^'Conduite principale'!H162-1)))</f>
        <v>846.60528469295309</v>
      </c>
      <c r="K162" s="26">
        <v>1992</v>
      </c>
      <c r="L162" s="22">
        <f t="shared" si="16"/>
        <v>30</v>
      </c>
      <c r="M162" s="1">
        <f t="shared" si="17"/>
        <v>0.42857142857142855</v>
      </c>
      <c r="N162" s="3">
        <f t="shared" si="18"/>
        <v>36893.764285714286</v>
      </c>
      <c r="O162" s="3">
        <f t="shared" si="19"/>
        <v>49191.685714285712</v>
      </c>
      <c r="P162">
        <f t="shared" si="22"/>
        <v>2062</v>
      </c>
      <c r="Q162">
        <f t="shared" si="23"/>
        <v>2132</v>
      </c>
    </row>
    <row r="163" spans="1:17" x14ac:dyDescent="0.25">
      <c r="A163" s="15" t="s">
        <v>324</v>
      </c>
      <c r="B163" s="5" t="s">
        <v>2802</v>
      </c>
      <c r="C163" s="5">
        <v>200</v>
      </c>
      <c r="D163" s="21">
        <v>2.1</v>
      </c>
      <c r="E163" s="24">
        <f>VLOOKUP(C163,'Taux unitaires'!H:I,2,FALSE)</f>
        <v>1441.5</v>
      </c>
      <c r="F163" s="25">
        <f t="shared" si="20"/>
        <v>3027.15</v>
      </c>
      <c r="G163" s="26">
        <f>VLOOKUP(B163,'Durée de vie utile'!$C$20:$E$25,3,FALSE)</f>
        <v>100</v>
      </c>
      <c r="H163" s="26">
        <f>VLOOKUP('Conduite principale'!B163,'Durée de vie utile'!$C$20:$E$25,2,FALSE)</f>
        <v>70</v>
      </c>
      <c r="I163" s="25">
        <f t="shared" si="21"/>
        <v>43.245000000000005</v>
      </c>
      <c r="J163" s="25">
        <f>(F163/(1+'Autres hypothèses'!$D$5))*('Autres hypothèses'!$D$5/(((1+'Autres hypothèses'!$D$5)^'Conduite principale'!H163-1)))</f>
        <v>29.770433767358746</v>
      </c>
      <c r="K163" s="26">
        <v>1996</v>
      </c>
      <c r="L163" s="22">
        <f t="shared" si="16"/>
        <v>26</v>
      </c>
      <c r="M163" s="1">
        <f t="shared" si="17"/>
        <v>0.37142857142857144</v>
      </c>
      <c r="N163" s="3">
        <f t="shared" si="18"/>
        <v>1124.3700000000001</v>
      </c>
      <c r="O163" s="3">
        <f t="shared" si="19"/>
        <v>1902.78</v>
      </c>
      <c r="P163">
        <f t="shared" si="22"/>
        <v>2066</v>
      </c>
      <c r="Q163">
        <f t="shared" si="23"/>
        <v>2136</v>
      </c>
    </row>
    <row r="164" spans="1:17" x14ac:dyDescent="0.25">
      <c r="A164" s="15" t="s">
        <v>325</v>
      </c>
      <c r="B164" s="5" t="s">
        <v>2803</v>
      </c>
      <c r="C164" s="5">
        <v>250</v>
      </c>
      <c r="D164" s="21">
        <v>42.7</v>
      </c>
      <c r="E164" s="24">
        <f>VLOOKUP(C164,'Taux unitaires'!H:I,2,FALSE)</f>
        <v>1488</v>
      </c>
      <c r="F164" s="25">
        <f t="shared" si="20"/>
        <v>63537.600000000006</v>
      </c>
      <c r="G164" s="26">
        <f>VLOOKUP(B164,'Durée de vie utile'!$C$20:$E$25,3,FALSE)</f>
        <v>100</v>
      </c>
      <c r="H164" s="26">
        <f>VLOOKUP('Conduite principale'!B164,'Durée de vie utile'!$C$20:$E$25,2,FALSE)</f>
        <v>70</v>
      </c>
      <c r="I164" s="25">
        <f t="shared" si="21"/>
        <v>907.68000000000006</v>
      </c>
      <c r="J164" s="25">
        <f>(F164/(1+'Autres hypothèses'!$D$5))*('Autres hypothèses'!$D$5/(((1+'Autres hypothèses'!$D$5)^'Conduite principale'!H164-1)))</f>
        <v>624.85899692348687</v>
      </c>
      <c r="K164" s="26">
        <v>1992</v>
      </c>
      <c r="L164" s="22">
        <f t="shared" si="16"/>
        <v>30</v>
      </c>
      <c r="M164" s="1">
        <f t="shared" si="17"/>
        <v>0.42857142857142855</v>
      </c>
      <c r="N164" s="3">
        <f t="shared" si="18"/>
        <v>27230.400000000001</v>
      </c>
      <c r="O164" s="3">
        <f t="shared" si="19"/>
        <v>36307.200000000004</v>
      </c>
      <c r="P164">
        <f t="shared" si="22"/>
        <v>2062</v>
      </c>
      <c r="Q164">
        <f t="shared" si="23"/>
        <v>2132</v>
      </c>
    </row>
    <row r="165" spans="1:17" x14ac:dyDescent="0.25">
      <c r="A165" s="15" t="s">
        <v>326</v>
      </c>
      <c r="B165" s="5" t="s">
        <v>2804</v>
      </c>
      <c r="C165" s="5">
        <v>375</v>
      </c>
      <c r="D165" s="21">
        <v>81.399999999999991</v>
      </c>
      <c r="E165" s="24">
        <f>VLOOKUP(C165,'Taux unitaires'!H:I,2,FALSE)</f>
        <v>1534.5</v>
      </c>
      <c r="F165" s="25">
        <f t="shared" si="20"/>
        <v>124908.29999999999</v>
      </c>
      <c r="G165" s="26">
        <f>VLOOKUP(B165,'Durée de vie utile'!$C$20:$E$25,3,FALSE)</f>
        <v>100</v>
      </c>
      <c r="H165" s="26">
        <f>VLOOKUP('Conduite principale'!B165,'Durée de vie utile'!$C$20:$E$25,2,FALSE)</f>
        <v>70</v>
      </c>
      <c r="I165" s="25">
        <f t="shared" si="21"/>
        <v>1784.4042857142856</v>
      </c>
      <c r="J165" s="25">
        <f>(F165/(1+'Autres hypothèses'!$D$5))*('Autres hypothèses'!$D$5/(((1+'Autres hypothèses'!$D$5)^'Conduite principale'!H165-1)))</f>
        <v>1228.4076679858535</v>
      </c>
      <c r="K165" s="26">
        <v>1992</v>
      </c>
      <c r="L165" s="22">
        <f t="shared" si="16"/>
        <v>30</v>
      </c>
      <c r="M165" s="1">
        <f t="shared" si="17"/>
        <v>0.42857142857142855</v>
      </c>
      <c r="N165" s="3">
        <f t="shared" si="18"/>
        <v>53532.128571428562</v>
      </c>
      <c r="O165" s="3">
        <f t="shared" si="19"/>
        <v>71376.171428571426</v>
      </c>
      <c r="P165">
        <f t="shared" si="22"/>
        <v>2062</v>
      </c>
      <c r="Q165">
        <f t="shared" si="23"/>
        <v>2132</v>
      </c>
    </row>
    <row r="166" spans="1:17" x14ac:dyDescent="0.25">
      <c r="A166" s="15" t="s">
        <v>327</v>
      </c>
      <c r="B166" s="5" t="s">
        <v>2805</v>
      </c>
      <c r="C166" s="5">
        <v>300</v>
      </c>
      <c r="D166" s="21">
        <v>82.399999999999991</v>
      </c>
      <c r="E166" s="24">
        <f>VLOOKUP(C166,'Taux unitaires'!H:I,2,FALSE)</f>
        <v>1534.5</v>
      </c>
      <c r="F166" s="25">
        <f t="shared" si="20"/>
        <v>126442.79999999999</v>
      </c>
      <c r="G166" s="26">
        <f>VLOOKUP(B166,'Durée de vie utile'!$C$20:$E$25,3,FALSE)</f>
        <v>125</v>
      </c>
      <c r="H166" s="26">
        <f>VLOOKUP('Conduite principale'!B166,'Durée de vie utile'!$C$20:$E$25,2,FALSE)</f>
        <v>90</v>
      </c>
      <c r="I166" s="25">
        <f t="shared" si="21"/>
        <v>1404.9199999999998</v>
      </c>
      <c r="J166" s="25">
        <f>(F166/(1+'Autres hypothèses'!$D$5))*('Autres hypothèses'!$D$5/(((1+'Autres hypothèses'!$D$5)^'Conduite principale'!H166-1)))</f>
        <v>864.20038205673518</v>
      </c>
      <c r="K166" s="26">
        <v>1993</v>
      </c>
      <c r="L166" s="22">
        <f t="shared" si="16"/>
        <v>29</v>
      </c>
      <c r="M166" s="1">
        <f t="shared" si="17"/>
        <v>0.32222222222222224</v>
      </c>
      <c r="N166" s="3">
        <f t="shared" si="18"/>
        <v>40742.68</v>
      </c>
      <c r="O166" s="3">
        <f t="shared" si="19"/>
        <v>85700.12</v>
      </c>
      <c r="P166">
        <f t="shared" si="22"/>
        <v>2083</v>
      </c>
      <c r="Q166">
        <f t="shared" si="23"/>
        <v>2173</v>
      </c>
    </row>
    <row r="167" spans="1:17" x14ac:dyDescent="0.25">
      <c r="A167" s="15" t="s">
        <v>328</v>
      </c>
      <c r="B167" s="5" t="s">
        <v>2806</v>
      </c>
      <c r="C167" s="5">
        <v>200</v>
      </c>
      <c r="D167" s="21">
        <v>5.6999999999999993</v>
      </c>
      <c r="E167" s="24">
        <f>VLOOKUP(C167,'Taux unitaires'!H:I,2,FALSE)</f>
        <v>1441.5</v>
      </c>
      <c r="F167" s="25">
        <f t="shared" si="20"/>
        <v>8216.5499999999993</v>
      </c>
      <c r="G167" s="26">
        <f>VLOOKUP(B167,'Durée de vie utile'!$C$20:$E$25,3,FALSE)</f>
        <v>125</v>
      </c>
      <c r="H167" s="26">
        <f>VLOOKUP('Conduite principale'!B167,'Durée de vie utile'!$C$20:$E$25,2,FALSE)</f>
        <v>90</v>
      </c>
      <c r="I167" s="25">
        <f t="shared" si="21"/>
        <v>91.294999999999987</v>
      </c>
      <c r="J167" s="25">
        <f>(F167/(1+'Autres hypothèses'!$D$5))*('Autres hypothèses'!$D$5/(((1+'Autres hypothèses'!$D$5)^'Conduite principale'!H167-1)))</f>
        <v>56.157769751921556</v>
      </c>
      <c r="K167" s="26">
        <v>1996</v>
      </c>
      <c r="L167" s="22">
        <f t="shared" si="16"/>
        <v>26</v>
      </c>
      <c r="M167" s="1">
        <f t="shared" si="17"/>
        <v>0.28888888888888886</v>
      </c>
      <c r="N167" s="3">
        <f t="shared" si="18"/>
        <v>2373.6699999999996</v>
      </c>
      <c r="O167" s="3">
        <f t="shared" si="19"/>
        <v>5842.8799999999992</v>
      </c>
      <c r="P167">
        <f t="shared" si="22"/>
        <v>2086</v>
      </c>
      <c r="Q167">
        <f t="shared" si="23"/>
        <v>2176</v>
      </c>
    </row>
    <row r="168" spans="1:17" x14ac:dyDescent="0.25">
      <c r="A168" s="15" t="s">
        <v>329</v>
      </c>
      <c r="B168" s="5" t="s">
        <v>2807</v>
      </c>
      <c r="C168" s="5">
        <v>375</v>
      </c>
      <c r="D168" s="21">
        <v>19</v>
      </c>
      <c r="E168" s="24">
        <f>VLOOKUP(C168,'Taux unitaires'!H:I,2,FALSE)</f>
        <v>1534.5</v>
      </c>
      <c r="F168" s="25">
        <f t="shared" si="20"/>
        <v>29155.5</v>
      </c>
      <c r="G168" s="26">
        <f>VLOOKUP(B168,'Durée de vie utile'!$C$20:$E$25,3,FALSE)</f>
        <v>100</v>
      </c>
      <c r="H168" s="26">
        <f>VLOOKUP('Conduite principale'!B168,'Durée de vie utile'!$C$20:$E$25,2,FALSE)</f>
        <v>70</v>
      </c>
      <c r="I168" s="25">
        <f t="shared" si="21"/>
        <v>416.50714285714287</v>
      </c>
      <c r="J168" s="25">
        <f>(F168/(1+'Autres hypothèses'!$D$5))*('Autres hypothèses'!$D$5/(((1+'Autres hypothèses'!$D$5)^'Conduite principale'!H168-1)))</f>
        <v>286.72906255198052</v>
      </c>
      <c r="K168" s="26">
        <v>1993</v>
      </c>
      <c r="L168" s="22">
        <f t="shared" si="16"/>
        <v>29</v>
      </c>
      <c r="M168" s="1">
        <f t="shared" si="17"/>
        <v>0.41428571428571431</v>
      </c>
      <c r="N168" s="3">
        <f t="shared" si="18"/>
        <v>12078.707142857143</v>
      </c>
      <c r="O168" s="3">
        <f t="shared" si="19"/>
        <v>17076.792857142857</v>
      </c>
      <c r="P168">
        <f t="shared" si="22"/>
        <v>2063</v>
      </c>
      <c r="Q168">
        <f t="shared" si="23"/>
        <v>2133</v>
      </c>
    </row>
    <row r="169" spans="1:17" x14ac:dyDescent="0.25">
      <c r="A169" s="15" t="s">
        <v>330</v>
      </c>
      <c r="B169" s="5" t="s">
        <v>2808</v>
      </c>
      <c r="C169" s="5">
        <v>200</v>
      </c>
      <c r="D169" s="21">
        <v>48.300000000000004</v>
      </c>
      <c r="E169" s="24">
        <f>VLOOKUP(C169,'Taux unitaires'!H:I,2,FALSE)</f>
        <v>1441.5</v>
      </c>
      <c r="F169" s="25">
        <f t="shared" si="20"/>
        <v>69624.450000000012</v>
      </c>
      <c r="G169" s="26">
        <f>VLOOKUP(B169,'Durée de vie utile'!$C$20:$E$25,3,FALSE)</f>
        <v>125</v>
      </c>
      <c r="H169" s="26">
        <f>VLOOKUP('Conduite principale'!B169,'Durée de vie utile'!$C$20:$E$25,2,FALSE)</f>
        <v>90</v>
      </c>
      <c r="I169" s="25">
        <f t="shared" si="21"/>
        <v>773.60500000000013</v>
      </c>
      <c r="J169" s="25">
        <f>(F169/(1+'Autres hypothèses'!$D$5))*('Autres hypothèses'!$D$5/(((1+'Autres hypothèses'!$D$5)^'Conduite principale'!H169-1)))</f>
        <v>475.86320684523014</v>
      </c>
      <c r="K169" s="26">
        <v>1996</v>
      </c>
      <c r="L169" s="22">
        <f t="shared" si="16"/>
        <v>26</v>
      </c>
      <c r="M169" s="1">
        <f t="shared" si="17"/>
        <v>0.28888888888888886</v>
      </c>
      <c r="N169" s="3">
        <f t="shared" si="18"/>
        <v>20113.730000000003</v>
      </c>
      <c r="O169" s="3">
        <f t="shared" si="19"/>
        <v>49510.720000000008</v>
      </c>
      <c r="P169">
        <f t="shared" si="22"/>
        <v>2086</v>
      </c>
      <c r="Q169">
        <f t="shared" si="23"/>
        <v>2176</v>
      </c>
    </row>
    <row r="170" spans="1:17" x14ac:dyDescent="0.25">
      <c r="A170" s="15" t="s">
        <v>331</v>
      </c>
      <c r="B170" s="5" t="s">
        <v>2809</v>
      </c>
      <c r="C170" s="5">
        <v>200</v>
      </c>
      <c r="D170" s="21">
        <v>34.700000000000003</v>
      </c>
      <c r="E170" s="24">
        <f>VLOOKUP(C170,'Taux unitaires'!H:I,2,FALSE)</f>
        <v>1441.5</v>
      </c>
      <c r="F170" s="25">
        <f t="shared" si="20"/>
        <v>50020.05</v>
      </c>
      <c r="G170" s="26">
        <f>VLOOKUP(B170,'Durée de vie utile'!$C$20:$E$25,3,FALSE)</f>
        <v>100</v>
      </c>
      <c r="H170" s="26">
        <f>VLOOKUP('Conduite principale'!B170,'Durée de vie utile'!$C$20:$E$25,2,FALSE)</f>
        <v>70</v>
      </c>
      <c r="I170" s="25">
        <f t="shared" si="21"/>
        <v>714.57214285714292</v>
      </c>
      <c r="J170" s="25">
        <f>(F170/(1+'Autres hypothèses'!$D$5))*('Autres hypothèses'!$D$5/(((1+'Autres hypothèses'!$D$5)^'Conduite principale'!H170-1)))</f>
        <v>491.9209770130231</v>
      </c>
      <c r="K170" s="26">
        <v>1996</v>
      </c>
      <c r="L170" s="22">
        <f t="shared" si="16"/>
        <v>26</v>
      </c>
      <c r="M170" s="1">
        <f t="shared" si="17"/>
        <v>0.37142857142857144</v>
      </c>
      <c r="N170" s="3">
        <f t="shared" si="18"/>
        <v>18578.875714285718</v>
      </c>
      <c r="O170" s="3">
        <f t="shared" si="19"/>
        <v>31441.174285714285</v>
      </c>
      <c r="P170">
        <f t="shared" si="22"/>
        <v>2066</v>
      </c>
      <c r="Q170">
        <f t="shared" si="23"/>
        <v>2136</v>
      </c>
    </row>
    <row r="171" spans="1:17" x14ac:dyDescent="0.25">
      <c r="A171" s="15" t="s">
        <v>332</v>
      </c>
      <c r="B171" s="5" t="s">
        <v>2810</v>
      </c>
      <c r="C171" s="5">
        <v>450</v>
      </c>
      <c r="D171" s="21">
        <v>41.7</v>
      </c>
      <c r="E171" s="24">
        <f>VLOOKUP(C171,'Taux unitaires'!H:I,2,FALSE)</f>
        <v>1581</v>
      </c>
      <c r="F171" s="25">
        <f t="shared" si="20"/>
        <v>65927.700000000012</v>
      </c>
      <c r="G171" s="26">
        <f>VLOOKUP(B171,'Durée de vie utile'!$C$20:$E$25,3,FALSE)</f>
        <v>125</v>
      </c>
      <c r="H171" s="26">
        <f>VLOOKUP('Conduite principale'!B171,'Durée de vie utile'!$C$20:$E$25,2,FALSE)</f>
        <v>80</v>
      </c>
      <c r="I171" s="25">
        <f t="shared" si="21"/>
        <v>824.09625000000017</v>
      </c>
      <c r="J171" s="25">
        <f>(F171/(1+'Autres hypothèses'!$D$5))*('Autres hypothèses'!$D$5/(((1+'Autres hypothèses'!$D$5)^'Conduite principale'!H171-1)))</f>
        <v>536.48503423482555</v>
      </c>
      <c r="K171" s="26">
        <v>1996</v>
      </c>
      <c r="L171" s="22">
        <f t="shared" si="16"/>
        <v>26</v>
      </c>
      <c r="M171" s="1">
        <f t="shared" si="17"/>
        <v>0.32500000000000001</v>
      </c>
      <c r="N171" s="3">
        <f t="shared" si="18"/>
        <v>21426.502500000006</v>
      </c>
      <c r="O171" s="3">
        <f t="shared" si="19"/>
        <v>44501.197500000009</v>
      </c>
      <c r="P171">
        <f t="shared" si="22"/>
        <v>2076</v>
      </c>
      <c r="Q171">
        <f t="shared" si="23"/>
        <v>2156</v>
      </c>
    </row>
    <row r="172" spans="1:17" x14ac:dyDescent="0.25">
      <c r="A172" s="15" t="s">
        <v>333</v>
      </c>
      <c r="B172" s="5" t="s">
        <v>2811</v>
      </c>
      <c r="C172" s="5">
        <v>300</v>
      </c>
      <c r="D172" s="21">
        <v>22.900000000000002</v>
      </c>
      <c r="E172" s="24">
        <f>VLOOKUP(C172,'Taux unitaires'!H:I,2,FALSE)</f>
        <v>1534.5</v>
      </c>
      <c r="F172" s="25">
        <f t="shared" si="20"/>
        <v>35140.050000000003</v>
      </c>
      <c r="G172" s="26">
        <f>VLOOKUP(B172,'Durée de vie utile'!$C$20:$E$25,3,FALSE)</f>
        <v>100</v>
      </c>
      <c r="H172" s="26">
        <f>VLOOKUP('Conduite principale'!B172,'Durée de vie utile'!$C$20:$E$25,2,FALSE)</f>
        <v>70</v>
      </c>
      <c r="I172" s="25">
        <f t="shared" si="21"/>
        <v>502.00071428571431</v>
      </c>
      <c r="J172" s="25">
        <f>(F172/(1+'Autres hypothèses'!$D$5))*('Autres hypothèses'!$D$5/(((1+'Autres hypothèses'!$D$5)^'Conduite principale'!H172-1)))</f>
        <v>345.58397539159762</v>
      </c>
      <c r="K172" s="26">
        <v>1993</v>
      </c>
      <c r="L172" s="22">
        <f t="shared" si="16"/>
        <v>29</v>
      </c>
      <c r="M172" s="1">
        <f t="shared" si="17"/>
        <v>0.41428571428571431</v>
      </c>
      <c r="N172" s="3">
        <f t="shared" si="18"/>
        <v>14558.020714285716</v>
      </c>
      <c r="O172" s="3">
        <f t="shared" si="19"/>
        <v>20582.029285714285</v>
      </c>
      <c r="P172">
        <f t="shared" si="22"/>
        <v>2063</v>
      </c>
      <c r="Q172">
        <f t="shared" si="23"/>
        <v>2133</v>
      </c>
    </row>
    <row r="173" spans="1:17" x14ac:dyDescent="0.25">
      <c r="A173" s="15" t="s">
        <v>334</v>
      </c>
      <c r="B173" s="5" t="s">
        <v>2812</v>
      </c>
      <c r="C173" s="5">
        <v>300</v>
      </c>
      <c r="D173" s="21">
        <v>69.699999999999989</v>
      </c>
      <c r="E173" s="24">
        <f>VLOOKUP(C173,'Taux unitaires'!H:I,2,FALSE)</f>
        <v>1534.5</v>
      </c>
      <c r="F173" s="25">
        <f t="shared" si="20"/>
        <v>106954.64999999998</v>
      </c>
      <c r="G173" s="26">
        <f>VLOOKUP(B173,'Durée de vie utile'!$C$20:$E$25,3,FALSE)</f>
        <v>125</v>
      </c>
      <c r="H173" s="26">
        <f>VLOOKUP('Conduite principale'!B173,'Durée de vie utile'!$C$20:$E$25,2,FALSE)</f>
        <v>90</v>
      </c>
      <c r="I173" s="25">
        <f t="shared" si="21"/>
        <v>1188.3849999999998</v>
      </c>
      <c r="J173" s="25">
        <f>(F173/(1+'Autres hypothèses'!$D$5))*('Autres hypothèses'!$D$5/(((1+'Autres hypothèses'!$D$5)^'Conduite principale'!H173-1)))</f>
        <v>731.00444938536941</v>
      </c>
      <c r="K173" s="26">
        <v>1993</v>
      </c>
      <c r="L173" s="22">
        <f t="shared" si="16"/>
        <v>29</v>
      </c>
      <c r="M173" s="1">
        <f t="shared" si="17"/>
        <v>0.32222222222222224</v>
      </c>
      <c r="N173" s="3">
        <f t="shared" si="18"/>
        <v>34463.164999999994</v>
      </c>
      <c r="O173" s="3">
        <f t="shared" si="19"/>
        <v>72491.484999999986</v>
      </c>
      <c r="P173">
        <f t="shared" si="22"/>
        <v>2083</v>
      </c>
      <c r="Q173">
        <f t="shared" si="23"/>
        <v>2173</v>
      </c>
    </row>
    <row r="174" spans="1:17" x14ac:dyDescent="0.25">
      <c r="A174" s="15" t="s">
        <v>335</v>
      </c>
      <c r="B174" s="5" t="s">
        <v>2813</v>
      </c>
      <c r="C174" s="5">
        <v>450</v>
      </c>
      <c r="D174" s="21">
        <v>36</v>
      </c>
      <c r="E174" s="24">
        <f>VLOOKUP(C174,'Taux unitaires'!H:I,2,FALSE)</f>
        <v>1581</v>
      </c>
      <c r="F174" s="25">
        <f t="shared" si="20"/>
        <v>56916</v>
      </c>
      <c r="G174" s="26">
        <f>VLOOKUP(B174,'Durée de vie utile'!$C$20:$E$25,3,FALSE)</f>
        <v>100</v>
      </c>
      <c r="H174" s="26">
        <f>VLOOKUP('Conduite principale'!B174,'Durée de vie utile'!$C$20:$E$25,2,FALSE)</f>
        <v>80</v>
      </c>
      <c r="I174" s="25">
        <f t="shared" si="21"/>
        <v>711.45</v>
      </c>
      <c r="J174" s="25">
        <f>(F174/(1+'Autres hypothèses'!$D$5))*('Autres hypothèses'!$D$5/(((1+'Autres hypothèses'!$D$5)^'Conduite principale'!H174-1)))</f>
        <v>463.15254754085652</v>
      </c>
      <c r="K174" s="26">
        <v>1993</v>
      </c>
      <c r="L174" s="22">
        <f t="shared" si="16"/>
        <v>29</v>
      </c>
      <c r="M174" s="1">
        <f t="shared" si="17"/>
        <v>0.36249999999999999</v>
      </c>
      <c r="N174" s="3">
        <f t="shared" si="18"/>
        <v>20632.05</v>
      </c>
      <c r="O174" s="3">
        <f t="shared" si="19"/>
        <v>36283.949999999997</v>
      </c>
      <c r="P174">
        <f t="shared" si="22"/>
        <v>2073</v>
      </c>
      <c r="Q174">
        <f t="shared" si="23"/>
        <v>2153</v>
      </c>
    </row>
    <row r="175" spans="1:17" x14ac:dyDescent="0.25">
      <c r="A175" s="15" t="s">
        <v>336</v>
      </c>
      <c r="B175" s="5" t="s">
        <v>2814</v>
      </c>
      <c r="C175" s="5">
        <v>375</v>
      </c>
      <c r="D175" s="21">
        <v>62.300000000000004</v>
      </c>
      <c r="E175" s="24">
        <f>VLOOKUP(C175,'Taux unitaires'!H:I,2,FALSE)</f>
        <v>1534.5</v>
      </c>
      <c r="F175" s="25">
        <f t="shared" si="20"/>
        <v>95599.35</v>
      </c>
      <c r="G175" s="26">
        <f>VLOOKUP(B175,'Durée de vie utile'!$C$20:$E$25,3,FALSE)</f>
        <v>100</v>
      </c>
      <c r="H175" s="26">
        <f>VLOOKUP('Conduite principale'!B175,'Durée de vie utile'!$C$20:$E$25,2,FALSE)</f>
        <v>70</v>
      </c>
      <c r="I175" s="25">
        <f t="shared" si="21"/>
        <v>1365.7050000000002</v>
      </c>
      <c r="J175" s="25">
        <f>(F175/(1+'Autres hypothèses'!$D$5))*('Autres hypothèses'!$D$5/(((1+'Autres hypothèses'!$D$5)^'Conduite principale'!H175-1)))</f>
        <v>940.16950510465199</v>
      </c>
      <c r="K175" s="26">
        <v>1993</v>
      </c>
      <c r="L175" s="22">
        <f t="shared" si="16"/>
        <v>29</v>
      </c>
      <c r="M175" s="1">
        <f t="shared" si="17"/>
        <v>0.41428571428571431</v>
      </c>
      <c r="N175" s="3">
        <f t="shared" si="18"/>
        <v>39605.445000000007</v>
      </c>
      <c r="O175" s="3">
        <f t="shared" si="19"/>
        <v>55993.904999999999</v>
      </c>
      <c r="P175">
        <f t="shared" si="22"/>
        <v>2063</v>
      </c>
      <c r="Q175">
        <f t="shared" si="23"/>
        <v>2133</v>
      </c>
    </row>
    <row r="176" spans="1:17" x14ac:dyDescent="0.25">
      <c r="A176" s="15" t="s">
        <v>337</v>
      </c>
      <c r="B176" s="5" t="s">
        <v>2815</v>
      </c>
      <c r="C176" s="5">
        <v>375</v>
      </c>
      <c r="D176" s="21">
        <v>2.4</v>
      </c>
      <c r="E176" s="24">
        <f>VLOOKUP(C176,'Taux unitaires'!H:I,2,FALSE)</f>
        <v>1534.5</v>
      </c>
      <c r="F176" s="25">
        <f t="shared" si="20"/>
        <v>3682.7999999999997</v>
      </c>
      <c r="G176" s="26">
        <f>VLOOKUP(B176,'Durée de vie utile'!$C$20:$E$25,3,FALSE)</f>
        <v>100</v>
      </c>
      <c r="H176" s="26">
        <f>VLOOKUP('Conduite principale'!B176,'Durée de vie utile'!$C$20:$E$25,2,FALSE)</f>
        <v>70</v>
      </c>
      <c r="I176" s="25">
        <f t="shared" si="21"/>
        <v>52.611428571428569</v>
      </c>
      <c r="J176" s="25">
        <f>(F176/(1+'Autres hypothèses'!$D$5))*('Autres hypothèses'!$D$5/(((1+'Autres hypothèses'!$D$5)^'Conduite principale'!H176-1)))</f>
        <v>36.218407901302804</v>
      </c>
      <c r="K176" s="26">
        <v>1993</v>
      </c>
      <c r="L176" s="22">
        <f t="shared" si="16"/>
        <v>29</v>
      </c>
      <c r="M176" s="1">
        <f t="shared" si="17"/>
        <v>0.41428571428571431</v>
      </c>
      <c r="N176" s="3">
        <f t="shared" si="18"/>
        <v>1525.7314285714285</v>
      </c>
      <c r="O176" s="3">
        <f t="shared" si="19"/>
        <v>2157.068571428571</v>
      </c>
      <c r="P176">
        <f t="shared" si="22"/>
        <v>2063</v>
      </c>
      <c r="Q176">
        <f t="shared" si="23"/>
        <v>2133</v>
      </c>
    </row>
    <row r="177" spans="1:17" x14ac:dyDescent="0.25">
      <c r="A177" s="15" t="s">
        <v>338</v>
      </c>
      <c r="B177" s="5" t="s">
        <v>2816</v>
      </c>
      <c r="C177" s="5">
        <v>450</v>
      </c>
      <c r="D177" s="21">
        <v>30.5</v>
      </c>
      <c r="E177" s="24">
        <f>VLOOKUP(C177,'Taux unitaires'!H:I,2,FALSE)</f>
        <v>1581</v>
      </c>
      <c r="F177" s="25">
        <f t="shared" si="20"/>
        <v>48220.5</v>
      </c>
      <c r="G177" s="26">
        <f>VLOOKUP(B177,'Durée de vie utile'!$C$20:$E$25,3,FALSE)</f>
        <v>125</v>
      </c>
      <c r="H177" s="26">
        <f>VLOOKUP('Conduite principale'!B177,'Durée de vie utile'!$C$20:$E$25,2,FALSE)</f>
        <v>80</v>
      </c>
      <c r="I177" s="25">
        <f t="shared" si="21"/>
        <v>602.75625000000002</v>
      </c>
      <c r="J177" s="25">
        <f>(F177/(1+'Autres hypothèses'!$D$5))*('Autres hypothèses'!$D$5/(((1+'Autres hypothèses'!$D$5)^'Conduite principale'!H177-1)))</f>
        <v>392.3931305554479</v>
      </c>
      <c r="K177" s="26">
        <v>1993</v>
      </c>
      <c r="L177" s="22">
        <f t="shared" si="16"/>
        <v>29</v>
      </c>
      <c r="M177" s="1">
        <f t="shared" si="17"/>
        <v>0.36249999999999999</v>
      </c>
      <c r="N177" s="3">
        <f t="shared" si="18"/>
        <v>17479.931249999998</v>
      </c>
      <c r="O177" s="3">
        <f t="shared" si="19"/>
        <v>30740.568750000002</v>
      </c>
      <c r="P177">
        <f t="shared" si="22"/>
        <v>2073</v>
      </c>
      <c r="Q177">
        <f t="shared" si="23"/>
        <v>2153</v>
      </c>
    </row>
    <row r="178" spans="1:17" x14ac:dyDescent="0.25">
      <c r="A178" s="15" t="s">
        <v>339</v>
      </c>
      <c r="B178" s="5" t="s">
        <v>2817</v>
      </c>
      <c r="C178" s="5">
        <v>250</v>
      </c>
      <c r="D178" s="21">
        <v>97.8</v>
      </c>
      <c r="E178" s="24">
        <f>VLOOKUP(C178,'Taux unitaires'!H:I,2,FALSE)</f>
        <v>1488</v>
      </c>
      <c r="F178" s="25">
        <f t="shared" si="20"/>
        <v>145526.39999999999</v>
      </c>
      <c r="G178" s="26">
        <f>VLOOKUP(B178,'Durée de vie utile'!$C$20:$E$25,3,FALSE)</f>
        <v>125</v>
      </c>
      <c r="H178" s="26">
        <f>VLOOKUP('Conduite principale'!B178,'Durée de vie utile'!$C$20:$E$25,2,FALSE)</f>
        <v>90</v>
      </c>
      <c r="I178" s="25">
        <f t="shared" si="21"/>
        <v>1616.96</v>
      </c>
      <c r="J178" s="25">
        <f>(F178/(1+'Autres hypothèses'!$D$5))*('Autres hypothèses'!$D$5/(((1+'Autres hypothèses'!$D$5)^'Conduite principale'!H178-1)))</f>
        <v>994.63133115797245</v>
      </c>
      <c r="K178" s="26">
        <v>1994</v>
      </c>
      <c r="L178" s="22">
        <f t="shared" si="16"/>
        <v>28</v>
      </c>
      <c r="M178" s="1">
        <f t="shared" si="17"/>
        <v>0.31111111111111112</v>
      </c>
      <c r="N178" s="3">
        <f t="shared" si="18"/>
        <v>45274.879999999997</v>
      </c>
      <c r="O178" s="3">
        <f t="shared" si="19"/>
        <v>100251.51999999999</v>
      </c>
      <c r="P178">
        <f t="shared" si="22"/>
        <v>2084</v>
      </c>
      <c r="Q178">
        <f t="shared" si="23"/>
        <v>2174</v>
      </c>
    </row>
    <row r="179" spans="1:17" x14ac:dyDescent="0.25">
      <c r="A179" s="15" t="s">
        <v>340</v>
      </c>
      <c r="B179" s="5" t="s">
        <v>2818</v>
      </c>
      <c r="C179" s="5">
        <v>375</v>
      </c>
      <c r="D179" s="21">
        <v>79.599999999999994</v>
      </c>
      <c r="E179" s="24">
        <f>VLOOKUP(C179,'Taux unitaires'!H:I,2,FALSE)</f>
        <v>1534.5</v>
      </c>
      <c r="F179" s="25">
        <f t="shared" si="20"/>
        <v>122146.2</v>
      </c>
      <c r="G179" s="26">
        <f>VLOOKUP(B179,'Durée de vie utile'!$C$20:$E$25,3,FALSE)</f>
        <v>125</v>
      </c>
      <c r="H179" s="26">
        <f>VLOOKUP('Conduite principale'!B179,'Durée de vie utile'!$C$20:$E$25,2,FALSE)</f>
        <v>90</v>
      </c>
      <c r="I179" s="25">
        <f t="shared" si="21"/>
        <v>1357.18</v>
      </c>
      <c r="J179" s="25">
        <f>(F179/(1+'Autres hypothèses'!$D$5))*('Autres hypothèses'!$D$5/(((1+'Autres hypothèses'!$D$5)^'Conduite principale'!H179-1)))</f>
        <v>834.83434965674917</v>
      </c>
      <c r="K179" s="26">
        <v>1994</v>
      </c>
      <c r="L179" s="22">
        <f t="shared" si="16"/>
        <v>28</v>
      </c>
      <c r="M179" s="1">
        <f t="shared" si="17"/>
        <v>0.31111111111111112</v>
      </c>
      <c r="N179" s="3">
        <f t="shared" si="18"/>
        <v>38001.040000000001</v>
      </c>
      <c r="O179" s="3">
        <f t="shared" si="19"/>
        <v>84145.16</v>
      </c>
      <c r="P179">
        <f t="shared" si="22"/>
        <v>2084</v>
      </c>
      <c r="Q179">
        <f t="shared" si="23"/>
        <v>2174</v>
      </c>
    </row>
    <row r="180" spans="1:17" x14ac:dyDescent="0.25">
      <c r="A180" s="15" t="s">
        <v>341</v>
      </c>
      <c r="B180" s="5" t="s">
        <v>2819</v>
      </c>
      <c r="C180" s="5">
        <v>300</v>
      </c>
      <c r="D180" s="21">
        <v>86.5</v>
      </c>
      <c r="E180" s="24">
        <f>VLOOKUP(C180,'Taux unitaires'!H:I,2,FALSE)</f>
        <v>1534.5</v>
      </c>
      <c r="F180" s="25">
        <f t="shared" si="20"/>
        <v>132734.25</v>
      </c>
      <c r="G180" s="26">
        <f>VLOOKUP(B180,'Durée de vie utile'!$C$20:$E$25,3,FALSE)</f>
        <v>100</v>
      </c>
      <c r="H180" s="26">
        <f>VLOOKUP('Conduite principale'!B180,'Durée de vie utile'!$C$20:$E$25,2,FALSE)</f>
        <v>70</v>
      </c>
      <c r="I180" s="25">
        <f t="shared" si="21"/>
        <v>1896.2035714285714</v>
      </c>
      <c r="J180" s="25">
        <f>(F180/(1+'Autres hypothèses'!$D$5))*('Autres hypothèses'!$D$5/(((1+'Autres hypothèses'!$D$5)^'Conduite principale'!H180-1)))</f>
        <v>1305.371784776122</v>
      </c>
      <c r="K180" s="26">
        <v>1994</v>
      </c>
      <c r="L180" s="22">
        <f t="shared" si="16"/>
        <v>28</v>
      </c>
      <c r="M180" s="1">
        <f t="shared" si="17"/>
        <v>0.4</v>
      </c>
      <c r="N180" s="3">
        <f t="shared" si="18"/>
        <v>53093.700000000004</v>
      </c>
      <c r="O180" s="3">
        <f t="shared" si="19"/>
        <v>79640.549999999988</v>
      </c>
      <c r="P180">
        <f t="shared" si="22"/>
        <v>2064</v>
      </c>
      <c r="Q180">
        <f t="shared" si="23"/>
        <v>2134</v>
      </c>
    </row>
    <row r="181" spans="1:17" x14ac:dyDescent="0.25">
      <c r="A181" s="15" t="s">
        <v>342</v>
      </c>
      <c r="B181" s="5" t="s">
        <v>2820</v>
      </c>
      <c r="C181" s="5">
        <v>200</v>
      </c>
      <c r="D181" s="21">
        <v>77.599999999999994</v>
      </c>
      <c r="E181" s="24">
        <f>VLOOKUP(C181,'Taux unitaires'!H:I,2,FALSE)</f>
        <v>1441.5</v>
      </c>
      <c r="F181" s="25">
        <f t="shared" si="20"/>
        <v>111860.4</v>
      </c>
      <c r="G181" s="26">
        <f>VLOOKUP(B181,'Durée de vie utile'!$C$20:$E$25,3,FALSE)</f>
        <v>100</v>
      </c>
      <c r="H181" s="26">
        <f>VLOOKUP('Conduite principale'!B181,'Durée de vie utile'!$C$20:$E$25,2,FALSE)</f>
        <v>70</v>
      </c>
      <c r="I181" s="25">
        <f t="shared" si="21"/>
        <v>1598.0057142857142</v>
      </c>
      <c r="J181" s="25">
        <f>(F181/(1+'Autres hypothèses'!$D$5))*('Autres hypothèses'!$D$5/(((1+'Autres hypothèses'!$D$5)^'Conduite principale'!H181-1)))</f>
        <v>1100.0884096890659</v>
      </c>
      <c r="K181" s="26">
        <v>1994</v>
      </c>
      <c r="L181" s="22">
        <f t="shared" si="16"/>
        <v>28</v>
      </c>
      <c r="M181" s="1">
        <f t="shared" si="17"/>
        <v>0.4</v>
      </c>
      <c r="N181" s="3">
        <f t="shared" si="18"/>
        <v>44744.160000000003</v>
      </c>
      <c r="O181" s="3">
        <f t="shared" si="19"/>
        <v>67116.239999999991</v>
      </c>
      <c r="P181">
        <f t="shared" si="22"/>
        <v>2064</v>
      </c>
      <c r="Q181">
        <f t="shared" si="23"/>
        <v>2134</v>
      </c>
    </row>
    <row r="182" spans="1:17" x14ac:dyDescent="0.25">
      <c r="A182" s="15" t="s">
        <v>343</v>
      </c>
      <c r="B182" s="5" t="s">
        <v>2821</v>
      </c>
      <c r="C182" s="5">
        <v>200</v>
      </c>
      <c r="D182" s="21">
        <v>43.6</v>
      </c>
      <c r="E182" s="24">
        <f>VLOOKUP(C182,'Taux unitaires'!H:I,2,FALSE)</f>
        <v>1441.5</v>
      </c>
      <c r="F182" s="25">
        <f t="shared" si="20"/>
        <v>62849.4</v>
      </c>
      <c r="G182" s="26">
        <f>VLOOKUP(B182,'Durée de vie utile'!$C$20:$E$25,3,FALSE)</f>
        <v>125</v>
      </c>
      <c r="H182" s="26">
        <f>VLOOKUP('Conduite principale'!B182,'Durée de vie utile'!$C$20:$E$25,2,FALSE)</f>
        <v>90</v>
      </c>
      <c r="I182" s="25">
        <f t="shared" si="21"/>
        <v>698.32666666666671</v>
      </c>
      <c r="J182" s="25">
        <f>(F182/(1+'Autres hypothèses'!$D$5))*('Autres hypothèses'!$D$5/(((1+'Autres hypothèses'!$D$5)^'Conduite principale'!H182-1)))</f>
        <v>429.55767740066318</v>
      </c>
      <c r="K182" s="26">
        <v>1996</v>
      </c>
      <c r="L182" s="22">
        <f t="shared" si="16"/>
        <v>26</v>
      </c>
      <c r="M182" s="1">
        <f t="shared" si="17"/>
        <v>0.28888888888888886</v>
      </c>
      <c r="N182" s="3">
        <f t="shared" si="18"/>
        <v>18156.493333333332</v>
      </c>
      <c r="O182" s="3">
        <f t="shared" si="19"/>
        <v>44692.906666666669</v>
      </c>
      <c r="P182">
        <f t="shared" si="22"/>
        <v>2086</v>
      </c>
      <c r="Q182">
        <f t="shared" si="23"/>
        <v>2176</v>
      </c>
    </row>
    <row r="183" spans="1:17" x14ac:dyDescent="0.25">
      <c r="A183" s="15" t="s">
        <v>344</v>
      </c>
      <c r="B183" s="5" t="s">
        <v>2822</v>
      </c>
      <c r="C183" s="5">
        <v>200</v>
      </c>
      <c r="D183" s="21">
        <v>30.8</v>
      </c>
      <c r="E183" s="24">
        <f>VLOOKUP(C183,'Taux unitaires'!H:I,2,FALSE)</f>
        <v>1441.5</v>
      </c>
      <c r="F183" s="25">
        <f t="shared" si="20"/>
        <v>44398.200000000004</v>
      </c>
      <c r="G183" s="26">
        <f>VLOOKUP(B183,'Durée de vie utile'!$C$20:$E$25,3,FALSE)</f>
        <v>100</v>
      </c>
      <c r="H183" s="26">
        <f>VLOOKUP('Conduite principale'!B183,'Durée de vie utile'!$C$20:$E$25,2,FALSE)</f>
        <v>70</v>
      </c>
      <c r="I183" s="25">
        <f t="shared" si="21"/>
        <v>634.2600000000001</v>
      </c>
      <c r="J183" s="25">
        <f>(F183/(1+'Autres hypothèses'!$D$5))*('Autres hypothèses'!$D$5/(((1+'Autres hypothèses'!$D$5)^'Conduite principale'!H183-1)))</f>
        <v>436.63302858792832</v>
      </c>
      <c r="K183" s="26">
        <v>1996</v>
      </c>
      <c r="L183" s="22">
        <f t="shared" si="16"/>
        <v>26</v>
      </c>
      <c r="M183" s="1">
        <f t="shared" si="17"/>
        <v>0.37142857142857144</v>
      </c>
      <c r="N183" s="3">
        <f t="shared" si="18"/>
        <v>16490.760000000002</v>
      </c>
      <c r="O183" s="3">
        <f t="shared" si="19"/>
        <v>27907.440000000002</v>
      </c>
      <c r="P183">
        <f t="shared" si="22"/>
        <v>2066</v>
      </c>
      <c r="Q183">
        <f t="shared" si="23"/>
        <v>2136</v>
      </c>
    </row>
    <row r="184" spans="1:17" x14ac:dyDescent="0.25">
      <c r="A184" s="15" t="s">
        <v>345</v>
      </c>
      <c r="B184" s="5" t="s">
        <v>2823</v>
      </c>
      <c r="C184" s="5">
        <v>375</v>
      </c>
      <c r="D184" s="21">
        <v>44.9</v>
      </c>
      <c r="E184" s="24">
        <f>VLOOKUP(C184,'Taux unitaires'!H:I,2,FALSE)</f>
        <v>1534.5</v>
      </c>
      <c r="F184" s="25">
        <f t="shared" si="20"/>
        <v>68899.05</v>
      </c>
      <c r="G184" s="26">
        <f>VLOOKUP(B184,'Durée de vie utile'!$C$20:$E$25,3,FALSE)</f>
        <v>125</v>
      </c>
      <c r="H184" s="26">
        <f>VLOOKUP('Conduite principale'!B184,'Durée de vie utile'!$C$20:$E$25,2,FALSE)</f>
        <v>90</v>
      </c>
      <c r="I184" s="25">
        <f t="shared" si="21"/>
        <v>765.54500000000007</v>
      </c>
      <c r="J184" s="25">
        <f>(F184/(1+'Autres hypothèses'!$D$5))*('Autres hypothèses'!$D$5/(((1+'Autres hypothèses'!$D$5)^'Conduite principale'!H184-1)))</f>
        <v>470.90530527120649</v>
      </c>
      <c r="K184" s="26">
        <v>1995</v>
      </c>
      <c r="L184" s="22">
        <f t="shared" si="16"/>
        <v>27</v>
      </c>
      <c r="M184" s="1">
        <f t="shared" si="17"/>
        <v>0.3</v>
      </c>
      <c r="N184" s="3">
        <f t="shared" si="18"/>
        <v>20669.715</v>
      </c>
      <c r="O184" s="3">
        <f t="shared" si="19"/>
        <v>48229.335000000006</v>
      </c>
      <c r="P184">
        <f t="shared" si="22"/>
        <v>2085</v>
      </c>
      <c r="Q184">
        <f t="shared" si="23"/>
        <v>2175</v>
      </c>
    </row>
    <row r="185" spans="1:17" x14ac:dyDescent="0.25">
      <c r="A185" s="15" t="s">
        <v>346</v>
      </c>
      <c r="B185" s="5" t="s">
        <v>2824</v>
      </c>
      <c r="C185" s="5">
        <v>200</v>
      </c>
      <c r="D185" s="21">
        <v>99.699999999999989</v>
      </c>
      <c r="E185" s="24">
        <f>VLOOKUP(C185,'Taux unitaires'!H:I,2,FALSE)</f>
        <v>1441.5</v>
      </c>
      <c r="F185" s="25">
        <f t="shared" si="20"/>
        <v>143717.54999999999</v>
      </c>
      <c r="G185" s="26">
        <f>VLOOKUP(B185,'Durée de vie utile'!$C$20:$E$25,3,FALSE)</f>
        <v>125</v>
      </c>
      <c r="H185" s="26">
        <f>VLOOKUP('Conduite principale'!B185,'Durée de vie utile'!$C$20:$E$25,2,FALSE)</f>
        <v>90</v>
      </c>
      <c r="I185" s="25">
        <f t="shared" si="21"/>
        <v>1596.8616666666665</v>
      </c>
      <c r="J185" s="25">
        <f>(F185/(1+'Autres hypothèses'!$D$5))*('Autres hypothèses'!$D$5/(((1+'Autres hypothèses'!$D$5)^'Conduite principale'!H185-1)))</f>
        <v>982.2683586432596</v>
      </c>
      <c r="K185" s="26">
        <v>1995</v>
      </c>
      <c r="L185" s="22">
        <f t="shared" si="16"/>
        <v>27</v>
      </c>
      <c r="M185" s="1">
        <f t="shared" si="17"/>
        <v>0.3</v>
      </c>
      <c r="N185" s="3">
        <f t="shared" si="18"/>
        <v>43115.264999999992</v>
      </c>
      <c r="O185" s="3">
        <f t="shared" si="19"/>
        <v>100602.285</v>
      </c>
      <c r="P185">
        <f t="shared" si="22"/>
        <v>2085</v>
      </c>
      <c r="Q185">
        <f t="shared" si="23"/>
        <v>2175</v>
      </c>
    </row>
    <row r="186" spans="1:17" x14ac:dyDescent="0.25">
      <c r="A186" s="15" t="s">
        <v>347</v>
      </c>
      <c r="B186" s="5" t="s">
        <v>2825</v>
      </c>
      <c r="C186" s="5">
        <v>750</v>
      </c>
      <c r="D186" s="21">
        <v>93.1</v>
      </c>
      <c r="E186" s="24">
        <f>VLOOKUP(C186,'Taux unitaires'!H:I,2,FALSE)</f>
        <v>1767</v>
      </c>
      <c r="F186" s="25">
        <f t="shared" si="20"/>
        <v>164507.69999999998</v>
      </c>
      <c r="G186" s="26">
        <f>VLOOKUP(B186,'Durée de vie utile'!$C$20:$E$25,3,FALSE)</f>
        <v>100</v>
      </c>
      <c r="H186" s="26">
        <f>VLOOKUP('Conduite principale'!B186,'Durée de vie utile'!$C$20:$E$25,2,FALSE)</f>
        <v>70</v>
      </c>
      <c r="I186" s="25">
        <f t="shared" si="21"/>
        <v>2350.1099999999997</v>
      </c>
      <c r="J186" s="25">
        <f>(F186/(1+'Autres hypothèses'!$D$5))*('Autres hypothèses'!$D$5/(((1+'Autres hypothèses'!$D$5)^'Conduite principale'!H186-1)))</f>
        <v>1617.8470135508719</v>
      </c>
      <c r="K186" s="26">
        <v>1995</v>
      </c>
      <c r="L186" s="22">
        <f t="shared" si="16"/>
        <v>27</v>
      </c>
      <c r="M186" s="1">
        <f t="shared" si="17"/>
        <v>0.38571428571428573</v>
      </c>
      <c r="N186" s="3">
        <f t="shared" si="18"/>
        <v>63452.969999999994</v>
      </c>
      <c r="O186" s="3">
        <f t="shared" si="19"/>
        <v>101054.72999999998</v>
      </c>
      <c r="P186">
        <f t="shared" si="22"/>
        <v>2065</v>
      </c>
      <c r="Q186">
        <f t="shared" si="23"/>
        <v>2135</v>
      </c>
    </row>
    <row r="187" spans="1:17" x14ac:dyDescent="0.25">
      <c r="A187" s="15" t="s">
        <v>348</v>
      </c>
      <c r="B187" s="5" t="s">
        <v>2826</v>
      </c>
      <c r="C187" s="5">
        <v>375</v>
      </c>
      <c r="D187" s="21">
        <v>87.1</v>
      </c>
      <c r="E187" s="24">
        <f>VLOOKUP(C187,'Taux unitaires'!H:I,2,FALSE)</f>
        <v>1534.5</v>
      </c>
      <c r="F187" s="25">
        <f t="shared" si="20"/>
        <v>133654.94999999998</v>
      </c>
      <c r="G187" s="26">
        <f>VLOOKUP(B187,'Durée de vie utile'!$C$20:$E$25,3,FALSE)</f>
        <v>100</v>
      </c>
      <c r="H187" s="26">
        <f>VLOOKUP('Conduite principale'!B187,'Durée de vie utile'!$C$20:$E$25,2,FALSE)</f>
        <v>70</v>
      </c>
      <c r="I187" s="25">
        <f t="shared" si="21"/>
        <v>1909.3564285714283</v>
      </c>
      <c r="J187" s="25">
        <f>(F187/(1+'Autres hypothèses'!$D$5))*('Autres hypothèses'!$D$5/(((1+'Autres hypothèses'!$D$5)^'Conduite principale'!H187-1)))</f>
        <v>1314.4263867514476</v>
      </c>
      <c r="K187" s="26">
        <v>1995</v>
      </c>
      <c r="L187" s="22">
        <f t="shared" si="16"/>
        <v>27</v>
      </c>
      <c r="M187" s="1">
        <f t="shared" si="17"/>
        <v>0.38571428571428573</v>
      </c>
      <c r="N187" s="3">
        <f t="shared" si="18"/>
        <v>51552.623571428565</v>
      </c>
      <c r="O187" s="3">
        <f t="shared" si="19"/>
        <v>82102.326428571425</v>
      </c>
      <c r="P187">
        <f t="shared" si="22"/>
        <v>2065</v>
      </c>
      <c r="Q187">
        <f t="shared" si="23"/>
        <v>2135</v>
      </c>
    </row>
    <row r="188" spans="1:17" x14ac:dyDescent="0.25">
      <c r="A188" s="15" t="s">
        <v>349</v>
      </c>
      <c r="B188" s="5" t="s">
        <v>2827</v>
      </c>
      <c r="C188" s="5">
        <v>300</v>
      </c>
      <c r="D188" s="21">
        <v>52.6</v>
      </c>
      <c r="E188" s="24">
        <f>VLOOKUP(C188,'Taux unitaires'!H:I,2,FALSE)</f>
        <v>1534.5</v>
      </c>
      <c r="F188" s="25">
        <f t="shared" si="20"/>
        <v>80714.7</v>
      </c>
      <c r="G188" s="26">
        <f>VLOOKUP(B188,'Durée de vie utile'!$C$20:$E$25,3,FALSE)</f>
        <v>125</v>
      </c>
      <c r="H188" s="26">
        <f>VLOOKUP('Conduite principale'!B188,'Durée de vie utile'!$C$20:$E$25,2,FALSE)</f>
        <v>80</v>
      </c>
      <c r="I188" s="25">
        <f t="shared" si="21"/>
        <v>1008.9337499999999</v>
      </c>
      <c r="J188" s="25">
        <f>(F188/(1+'Autres hypothèses'!$D$5))*('Autres hypothèses'!$D$5/(((1+'Autres hypothèses'!$D$5)^'Conduite principale'!H188-1)))</f>
        <v>656.81388237044018</v>
      </c>
      <c r="K188" s="26">
        <v>1994</v>
      </c>
      <c r="L188" s="22">
        <f t="shared" si="16"/>
        <v>28</v>
      </c>
      <c r="M188" s="1">
        <f t="shared" si="17"/>
        <v>0.35</v>
      </c>
      <c r="N188" s="3">
        <f t="shared" si="18"/>
        <v>28250.144999999997</v>
      </c>
      <c r="O188" s="3">
        <f t="shared" si="19"/>
        <v>52464.555</v>
      </c>
      <c r="P188">
        <f t="shared" si="22"/>
        <v>2074</v>
      </c>
      <c r="Q188">
        <f t="shared" si="23"/>
        <v>2154</v>
      </c>
    </row>
    <row r="189" spans="1:17" x14ac:dyDescent="0.25">
      <c r="A189" s="15" t="s">
        <v>350</v>
      </c>
      <c r="B189" s="5" t="s">
        <v>2828</v>
      </c>
      <c r="C189" s="5">
        <v>300</v>
      </c>
      <c r="D189" s="21">
        <v>24</v>
      </c>
      <c r="E189" s="24">
        <f>VLOOKUP(C189,'Taux unitaires'!H:I,2,FALSE)</f>
        <v>1534.5</v>
      </c>
      <c r="F189" s="25">
        <f t="shared" si="20"/>
        <v>36828</v>
      </c>
      <c r="G189" s="26">
        <f>VLOOKUP(B189,'Durée de vie utile'!$C$20:$E$25,3,FALSE)</f>
        <v>125</v>
      </c>
      <c r="H189" s="26">
        <f>VLOOKUP('Conduite principale'!B189,'Durée de vie utile'!$C$20:$E$25,2,FALSE)</f>
        <v>80</v>
      </c>
      <c r="I189" s="25">
        <f t="shared" si="21"/>
        <v>460.35</v>
      </c>
      <c r="J189" s="25">
        <f>(F189/(1+'Autres hypothèses'!$D$5))*('Autres hypothèses'!$D$5/(((1+'Autres hypothèses'!$D$5)^'Conduite principale'!H189-1)))</f>
        <v>299.68694252643655</v>
      </c>
      <c r="K189" s="26">
        <v>1995</v>
      </c>
      <c r="L189" s="22">
        <f t="shared" si="16"/>
        <v>27</v>
      </c>
      <c r="M189" s="1">
        <f t="shared" si="17"/>
        <v>0.33750000000000002</v>
      </c>
      <c r="N189" s="3">
        <f t="shared" si="18"/>
        <v>12429.45</v>
      </c>
      <c r="O189" s="3">
        <f t="shared" si="19"/>
        <v>24398.55</v>
      </c>
      <c r="P189">
        <f t="shared" si="22"/>
        <v>2075</v>
      </c>
      <c r="Q189">
        <f t="shared" si="23"/>
        <v>2155</v>
      </c>
    </row>
    <row r="190" spans="1:17" x14ac:dyDescent="0.25">
      <c r="A190" s="15" t="s">
        <v>351</v>
      </c>
      <c r="B190" s="5" t="s">
        <v>2829</v>
      </c>
      <c r="C190" s="5">
        <v>450</v>
      </c>
      <c r="D190" s="21">
        <v>97.899999999999991</v>
      </c>
      <c r="E190" s="24">
        <f>VLOOKUP(C190,'Taux unitaires'!H:I,2,FALSE)</f>
        <v>1581</v>
      </c>
      <c r="F190" s="25">
        <f t="shared" si="20"/>
        <v>154779.9</v>
      </c>
      <c r="G190" s="26">
        <f>VLOOKUP(B190,'Durée de vie utile'!$C$20:$E$25,3,FALSE)</f>
        <v>125</v>
      </c>
      <c r="H190" s="26">
        <f>VLOOKUP('Conduite principale'!B190,'Durée de vie utile'!$C$20:$E$25,2,FALSE)</f>
        <v>90</v>
      </c>
      <c r="I190" s="25">
        <f t="shared" si="21"/>
        <v>1719.7766666666666</v>
      </c>
      <c r="J190" s="25">
        <f>(F190/(1+'Autres hypothèses'!$D$5))*('Autres hypothèses'!$D$5/(((1+'Autres hypothèses'!$D$5)^'Conduite principale'!H190-1)))</f>
        <v>1057.8763576471199</v>
      </c>
      <c r="K190" s="26">
        <v>1996</v>
      </c>
      <c r="L190" s="22">
        <f t="shared" si="16"/>
        <v>26</v>
      </c>
      <c r="M190" s="1">
        <f t="shared" si="17"/>
        <v>0.28888888888888886</v>
      </c>
      <c r="N190" s="3">
        <f t="shared" si="18"/>
        <v>44714.193333333329</v>
      </c>
      <c r="O190" s="3">
        <f t="shared" si="19"/>
        <v>110065.70666666667</v>
      </c>
      <c r="P190">
        <f t="shared" si="22"/>
        <v>2086</v>
      </c>
      <c r="Q190">
        <f t="shared" si="23"/>
        <v>2176</v>
      </c>
    </row>
    <row r="191" spans="1:17" x14ac:dyDescent="0.25">
      <c r="A191" s="15" t="s">
        <v>352</v>
      </c>
      <c r="B191" s="5" t="s">
        <v>2830</v>
      </c>
      <c r="C191" s="5">
        <v>200</v>
      </c>
      <c r="D191" s="21">
        <v>54.800000000000004</v>
      </c>
      <c r="E191" s="24">
        <f>VLOOKUP(C191,'Taux unitaires'!H:I,2,FALSE)</f>
        <v>1441.5</v>
      </c>
      <c r="F191" s="25">
        <f t="shared" si="20"/>
        <v>78994.200000000012</v>
      </c>
      <c r="G191" s="26">
        <f>VLOOKUP(B191,'Durée de vie utile'!$C$20:$E$25,3,FALSE)</f>
        <v>125</v>
      </c>
      <c r="H191" s="26">
        <f>VLOOKUP('Conduite principale'!B191,'Durée de vie utile'!$C$20:$E$25,2,FALSE)</f>
        <v>80</v>
      </c>
      <c r="I191" s="25">
        <f t="shared" si="21"/>
        <v>987.42750000000012</v>
      </c>
      <c r="J191" s="25">
        <f>(F191/(1+'Autres hypothèses'!$D$5))*('Autres hypothèses'!$D$5/(((1+'Autres hypothèses'!$D$5)^'Conduite principale'!H191-1)))</f>
        <v>642.81335601503861</v>
      </c>
      <c r="K191" s="26">
        <v>1996</v>
      </c>
      <c r="L191" s="22">
        <f t="shared" si="16"/>
        <v>26</v>
      </c>
      <c r="M191" s="1">
        <f t="shared" si="17"/>
        <v>0.32500000000000001</v>
      </c>
      <c r="N191" s="3">
        <f t="shared" si="18"/>
        <v>25673.115000000005</v>
      </c>
      <c r="O191" s="3">
        <f t="shared" si="19"/>
        <v>53321.085000000006</v>
      </c>
      <c r="P191">
        <f t="shared" si="22"/>
        <v>2076</v>
      </c>
      <c r="Q191">
        <f t="shared" si="23"/>
        <v>2156</v>
      </c>
    </row>
    <row r="192" spans="1:17" x14ac:dyDescent="0.25">
      <c r="A192" s="15" t="s">
        <v>353</v>
      </c>
      <c r="B192" s="5" t="s">
        <v>2831</v>
      </c>
      <c r="C192" s="5">
        <v>200</v>
      </c>
      <c r="D192" s="21">
        <v>0.1</v>
      </c>
      <c r="E192" s="24">
        <f>VLOOKUP(C192,'Taux unitaires'!H:I,2,FALSE)</f>
        <v>1441.5</v>
      </c>
      <c r="F192" s="25">
        <f t="shared" si="20"/>
        <v>144.15</v>
      </c>
      <c r="G192" s="26">
        <f>VLOOKUP(B192,'Durée de vie utile'!$C$20:$E$25,3,FALSE)</f>
        <v>100</v>
      </c>
      <c r="H192" s="26">
        <f>VLOOKUP('Conduite principale'!B192,'Durée de vie utile'!$C$20:$E$25,2,FALSE)</f>
        <v>70</v>
      </c>
      <c r="I192" s="25">
        <f t="shared" si="21"/>
        <v>2.0592857142857142</v>
      </c>
      <c r="J192" s="25">
        <f>(F192/(1+'Autres hypothèses'!$D$5))*('Autres hypothèses'!$D$5/(((1+'Autres hypothèses'!$D$5)^'Conduite principale'!H192-1)))</f>
        <v>1.4176397032075594</v>
      </c>
      <c r="K192" s="26">
        <v>1996</v>
      </c>
      <c r="L192" s="22">
        <f t="shared" si="16"/>
        <v>26</v>
      </c>
      <c r="M192" s="1">
        <f t="shared" si="17"/>
        <v>0.37142857142857144</v>
      </c>
      <c r="N192" s="3">
        <f t="shared" si="18"/>
        <v>53.541428571428575</v>
      </c>
      <c r="O192" s="3">
        <f t="shared" si="19"/>
        <v>90.608571428571423</v>
      </c>
      <c r="P192">
        <f t="shared" si="22"/>
        <v>2066</v>
      </c>
      <c r="Q192">
        <f t="shared" si="23"/>
        <v>2136</v>
      </c>
    </row>
    <row r="193" spans="1:17" x14ac:dyDescent="0.25">
      <c r="A193" s="15" t="s">
        <v>354</v>
      </c>
      <c r="B193" s="5" t="s">
        <v>2832</v>
      </c>
      <c r="C193" s="5">
        <v>200</v>
      </c>
      <c r="D193" s="21">
        <v>43.7</v>
      </c>
      <c r="E193" s="24">
        <f>VLOOKUP(C193,'Taux unitaires'!H:I,2,FALSE)</f>
        <v>1441.5</v>
      </c>
      <c r="F193" s="25">
        <f t="shared" si="20"/>
        <v>62993.55</v>
      </c>
      <c r="G193" s="26">
        <f>VLOOKUP(B193,'Durée de vie utile'!$C$20:$E$25,3,FALSE)</f>
        <v>125</v>
      </c>
      <c r="H193" s="26">
        <f>VLOOKUP('Conduite principale'!B193,'Durée de vie utile'!$C$20:$E$25,2,FALSE)</f>
        <v>80</v>
      </c>
      <c r="I193" s="25">
        <f t="shared" si="21"/>
        <v>787.41937500000006</v>
      </c>
      <c r="J193" s="25">
        <f>(F193/(1+'Autres hypothèses'!$D$5))*('Autres hypothèses'!$D$5/(((1+'Autres hypothèses'!$D$5)^'Conduite principale'!H193-1)))</f>
        <v>512.6084609098026</v>
      </c>
      <c r="K193" s="26">
        <v>1996</v>
      </c>
      <c r="L193" s="22">
        <f t="shared" si="16"/>
        <v>26</v>
      </c>
      <c r="M193" s="1">
        <f t="shared" si="17"/>
        <v>0.32500000000000001</v>
      </c>
      <c r="N193" s="3">
        <f t="shared" si="18"/>
        <v>20472.903750000001</v>
      </c>
      <c r="O193" s="3">
        <f t="shared" si="19"/>
        <v>42520.646250000005</v>
      </c>
      <c r="P193">
        <f t="shared" si="22"/>
        <v>2076</v>
      </c>
      <c r="Q193">
        <f t="shared" si="23"/>
        <v>2156</v>
      </c>
    </row>
    <row r="194" spans="1:17" x14ac:dyDescent="0.25">
      <c r="A194" s="15" t="s">
        <v>355</v>
      </c>
      <c r="B194" s="5" t="s">
        <v>2833</v>
      </c>
      <c r="C194" s="5">
        <v>200</v>
      </c>
      <c r="D194" s="21">
        <v>86.3</v>
      </c>
      <c r="E194" s="24">
        <f>VLOOKUP(C194,'Taux unitaires'!H:I,2,FALSE)</f>
        <v>1441.5</v>
      </c>
      <c r="F194" s="25">
        <f t="shared" si="20"/>
        <v>124401.45</v>
      </c>
      <c r="G194" s="26">
        <f>VLOOKUP(B194,'Durée de vie utile'!$C$20:$E$25,3,FALSE)</f>
        <v>125</v>
      </c>
      <c r="H194" s="26">
        <f>VLOOKUP('Conduite principale'!B194,'Durée de vie utile'!$C$20:$E$25,2,FALSE)</f>
        <v>80</v>
      </c>
      <c r="I194" s="25">
        <f t="shared" si="21"/>
        <v>1555.0181250000001</v>
      </c>
      <c r="J194" s="25">
        <f>(F194/(1+'Autres hypothèses'!$D$5))*('Autres hypothèses'!$D$5/(((1+'Autres hypothèses'!$D$5)^'Conduite principale'!H194-1)))</f>
        <v>1012.3137340163835</v>
      </c>
      <c r="K194" s="26">
        <v>1994</v>
      </c>
      <c r="L194" s="22">
        <f t="shared" ref="L194:L201" si="24">2022-K194</f>
        <v>28</v>
      </c>
      <c r="M194" s="1">
        <f t="shared" ref="M194:M201" si="25">L194/H194</f>
        <v>0.35</v>
      </c>
      <c r="N194" s="3">
        <f t="shared" ref="N194:N201" si="26">M194*F194</f>
        <v>43540.5075</v>
      </c>
      <c r="O194" s="3">
        <f t="shared" ref="O194:O201" si="27">F194-N194</f>
        <v>80860.942500000005</v>
      </c>
      <c r="P194">
        <f t="shared" si="22"/>
        <v>2074</v>
      </c>
      <c r="Q194">
        <f t="shared" si="23"/>
        <v>2154</v>
      </c>
    </row>
    <row r="195" spans="1:17" x14ac:dyDescent="0.25">
      <c r="A195" s="15" t="s">
        <v>356</v>
      </c>
      <c r="B195" s="5" t="s">
        <v>2834</v>
      </c>
      <c r="C195" s="5">
        <v>250</v>
      </c>
      <c r="D195" s="21">
        <v>16.400000000000002</v>
      </c>
      <c r="E195" s="24">
        <f>VLOOKUP(C195,'Taux unitaires'!H:I,2,FALSE)</f>
        <v>1488</v>
      </c>
      <c r="F195" s="25">
        <f t="shared" ref="F195:F201" si="28">D195*E195</f>
        <v>24403.200000000004</v>
      </c>
      <c r="G195" s="26">
        <f>VLOOKUP(B195,'Durée de vie utile'!$C$20:$E$25,3,FALSE)</f>
        <v>100</v>
      </c>
      <c r="H195" s="26">
        <f>VLOOKUP('Conduite principale'!B195,'Durée de vie utile'!$C$20:$E$25,2,FALSE)</f>
        <v>70</v>
      </c>
      <c r="I195" s="25">
        <f t="shared" ref="I195:I201" si="29">F195/H195</f>
        <v>348.61714285714294</v>
      </c>
      <c r="J195" s="25">
        <f>(F195/(1+'Autres hypothèses'!$D$5))*('Autres hypothèses'!$D$5/(((1+'Autres hypothèses'!$D$5)^'Conduite principale'!H195-1)))</f>
        <v>239.99268265913781</v>
      </c>
      <c r="K195" s="26">
        <v>1994</v>
      </c>
      <c r="L195" s="22">
        <f t="shared" si="24"/>
        <v>28</v>
      </c>
      <c r="M195" s="1">
        <f t="shared" si="25"/>
        <v>0.4</v>
      </c>
      <c r="N195" s="3">
        <f t="shared" si="26"/>
        <v>9761.2800000000025</v>
      </c>
      <c r="O195" s="3">
        <f t="shared" si="27"/>
        <v>14641.920000000002</v>
      </c>
      <c r="P195">
        <f t="shared" ref="P195:P201" si="30">K195+H195</f>
        <v>2064</v>
      </c>
      <c r="Q195">
        <f t="shared" ref="Q195:Q201" si="31">P195+H195</f>
        <v>2134</v>
      </c>
    </row>
    <row r="196" spans="1:17" x14ac:dyDescent="0.25">
      <c r="A196" s="15" t="s">
        <v>357</v>
      </c>
      <c r="B196" s="5" t="s">
        <v>2835</v>
      </c>
      <c r="C196" s="5">
        <v>250</v>
      </c>
      <c r="D196" s="21">
        <v>85.6</v>
      </c>
      <c r="E196" s="24">
        <f>VLOOKUP(C196,'Taux unitaires'!H:I,2,FALSE)</f>
        <v>1488</v>
      </c>
      <c r="F196" s="25">
        <f t="shared" si="28"/>
        <v>127372.79999999999</v>
      </c>
      <c r="G196" s="26">
        <f>VLOOKUP(B196,'Durée de vie utile'!$C$20:$E$25,3,FALSE)</f>
        <v>125</v>
      </c>
      <c r="H196" s="26">
        <f>VLOOKUP('Conduite principale'!B196,'Durée de vie utile'!$C$20:$E$25,2,FALSE)</f>
        <v>90</v>
      </c>
      <c r="I196" s="25">
        <f t="shared" si="29"/>
        <v>1415.2533333333331</v>
      </c>
      <c r="J196" s="25">
        <f>(F196/(1+'Autres hypothèses'!$D$5))*('Autres hypothèses'!$D$5/(((1+'Autres hypothèses'!$D$5)^'Conduite principale'!H196-1)))</f>
        <v>870.55666612599623</v>
      </c>
      <c r="K196" s="26">
        <v>1994</v>
      </c>
      <c r="L196" s="22">
        <f t="shared" si="24"/>
        <v>28</v>
      </c>
      <c r="M196" s="1">
        <f t="shared" si="25"/>
        <v>0.31111111111111112</v>
      </c>
      <c r="N196" s="3">
        <f t="shared" si="26"/>
        <v>39627.093333333331</v>
      </c>
      <c r="O196" s="3">
        <f t="shared" si="27"/>
        <v>87745.706666666665</v>
      </c>
      <c r="P196">
        <f t="shared" si="30"/>
        <v>2084</v>
      </c>
      <c r="Q196">
        <f t="shared" si="31"/>
        <v>2174</v>
      </c>
    </row>
    <row r="197" spans="1:17" x14ac:dyDescent="0.25">
      <c r="A197" s="15" t="s">
        <v>358</v>
      </c>
      <c r="B197" s="5" t="s">
        <v>2836</v>
      </c>
      <c r="C197" s="5">
        <v>250</v>
      </c>
      <c r="D197" s="21">
        <v>3.7</v>
      </c>
      <c r="E197" s="24">
        <f>VLOOKUP(C197,'Taux unitaires'!H:I,2,FALSE)</f>
        <v>1488</v>
      </c>
      <c r="F197" s="25">
        <f t="shared" si="28"/>
        <v>5505.6</v>
      </c>
      <c r="G197" s="26">
        <f>VLOOKUP(B197,'Durée de vie utile'!$C$20:$E$25,3,FALSE)</f>
        <v>100</v>
      </c>
      <c r="H197" s="26">
        <f>VLOOKUP('Conduite principale'!B197,'Durée de vie utile'!$C$20:$E$25,2,FALSE)</f>
        <v>70</v>
      </c>
      <c r="I197" s="25">
        <f t="shared" si="29"/>
        <v>78.651428571428582</v>
      </c>
      <c r="J197" s="25">
        <f>(F197/(1+'Autres hypothèses'!$D$5))*('Autres hypothèses'!$D$5/(((1+'Autres hypothèses'!$D$5)^'Conduite principale'!H197-1)))</f>
        <v>54.144690599927436</v>
      </c>
      <c r="K197" s="26">
        <v>1997</v>
      </c>
      <c r="L197" s="22">
        <f t="shared" si="24"/>
        <v>25</v>
      </c>
      <c r="M197" s="1">
        <f t="shared" si="25"/>
        <v>0.35714285714285715</v>
      </c>
      <c r="N197" s="3">
        <f>M197*F197</f>
        <v>1966.2857142857144</v>
      </c>
      <c r="O197" s="3">
        <f t="shared" si="27"/>
        <v>3539.3142857142857</v>
      </c>
      <c r="P197">
        <f t="shared" si="30"/>
        <v>2067</v>
      </c>
      <c r="Q197">
        <f t="shared" si="31"/>
        <v>2137</v>
      </c>
    </row>
    <row r="198" spans="1:17" x14ac:dyDescent="0.25">
      <c r="A198" s="15" t="s">
        <v>359</v>
      </c>
      <c r="B198" s="5" t="s">
        <v>2837</v>
      </c>
      <c r="C198" s="5">
        <v>375</v>
      </c>
      <c r="D198" s="21">
        <v>83</v>
      </c>
      <c r="E198" s="24">
        <f>VLOOKUP(C198,'Taux unitaires'!H:I,2,FALSE)</f>
        <v>1534.5</v>
      </c>
      <c r="F198" s="25">
        <f t="shared" si="28"/>
        <v>127363.5</v>
      </c>
      <c r="G198" s="26">
        <f>VLOOKUP(B198,'Durée de vie utile'!$C$20:$E$25,3,FALSE)</f>
        <v>100</v>
      </c>
      <c r="H198" s="26">
        <f>VLOOKUP('Conduite principale'!B198,'Durée de vie utile'!$C$20:$E$25,2,FALSE)</f>
        <v>70</v>
      </c>
      <c r="I198" s="25">
        <f t="shared" si="29"/>
        <v>1819.4785714285715</v>
      </c>
      <c r="J198" s="25">
        <f>(F198/(1+'Autres hypothèses'!$D$5))*('Autres hypothèses'!$D$5/(((1+'Autres hypothèses'!$D$5)^'Conduite principale'!H198-1)))</f>
        <v>1252.5532732533886</v>
      </c>
      <c r="K198" s="26">
        <v>1997</v>
      </c>
      <c r="L198" s="22">
        <f t="shared" si="24"/>
        <v>25</v>
      </c>
      <c r="M198" s="1">
        <f t="shared" si="25"/>
        <v>0.35714285714285715</v>
      </c>
      <c r="N198" s="3">
        <f t="shared" si="26"/>
        <v>45486.96428571429</v>
      </c>
      <c r="O198" s="3">
        <f t="shared" si="27"/>
        <v>81876.53571428571</v>
      </c>
      <c r="P198">
        <f t="shared" si="30"/>
        <v>2067</v>
      </c>
      <c r="Q198">
        <f t="shared" si="31"/>
        <v>2137</v>
      </c>
    </row>
    <row r="199" spans="1:17" x14ac:dyDescent="0.25">
      <c r="A199" s="15" t="s">
        <v>360</v>
      </c>
      <c r="B199" s="5" t="s">
        <v>2838</v>
      </c>
      <c r="C199" s="5">
        <v>250</v>
      </c>
      <c r="D199" s="21">
        <v>54.5</v>
      </c>
      <c r="E199" s="24">
        <f>VLOOKUP(C199,'Taux unitaires'!H:I,2,FALSE)</f>
        <v>1488</v>
      </c>
      <c r="F199" s="25">
        <f t="shared" si="28"/>
        <v>81096</v>
      </c>
      <c r="G199" s="26">
        <f>VLOOKUP(B199,'Durée de vie utile'!$C$20:$E$25,3,FALSE)</f>
        <v>125</v>
      </c>
      <c r="H199" s="26">
        <f>VLOOKUP('Conduite principale'!B199,'Durée de vie utile'!$C$20:$E$25,2,FALSE)</f>
        <v>80</v>
      </c>
      <c r="I199" s="25">
        <f t="shared" si="29"/>
        <v>1013.7</v>
      </c>
      <c r="J199" s="25">
        <f>(F199/(1+'Autres hypothèses'!$D$5))*('Autres hypothèses'!$D$5/(((1+'Autres hypothèses'!$D$5)^'Conduite principale'!H199-1)))</f>
        <v>659.91670172488057</v>
      </c>
      <c r="K199" s="26">
        <v>1997</v>
      </c>
      <c r="L199" s="22">
        <f t="shared" si="24"/>
        <v>25</v>
      </c>
      <c r="M199" s="1">
        <f t="shared" si="25"/>
        <v>0.3125</v>
      </c>
      <c r="N199" s="3">
        <f t="shared" si="26"/>
        <v>25342.5</v>
      </c>
      <c r="O199" s="3">
        <f t="shared" si="27"/>
        <v>55753.5</v>
      </c>
      <c r="P199">
        <f t="shared" si="30"/>
        <v>2077</v>
      </c>
      <c r="Q199">
        <f t="shared" si="31"/>
        <v>2157</v>
      </c>
    </row>
    <row r="200" spans="1:17" x14ac:dyDescent="0.25">
      <c r="A200" s="15" t="s">
        <v>361</v>
      </c>
      <c r="B200" s="5" t="s">
        <v>2839</v>
      </c>
      <c r="C200" s="5">
        <v>250</v>
      </c>
      <c r="D200" s="21">
        <v>0.9</v>
      </c>
      <c r="E200" s="24">
        <f>VLOOKUP(C200,'Taux unitaires'!H:I,2,FALSE)</f>
        <v>1488</v>
      </c>
      <c r="F200" s="25">
        <f t="shared" si="28"/>
        <v>1339.2</v>
      </c>
      <c r="G200" s="26">
        <f>VLOOKUP(B200,'Durée de vie utile'!$C$20:$E$25,3,FALSE)</f>
        <v>100</v>
      </c>
      <c r="H200" s="26">
        <f>VLOOKUP('Conduite principale'!B200,'Durée de vie utile'!$C$20:$E$25,2,FALSE)</f>
        <v>70</v>
      </c>
      <c r="I200" s="25">
        <f t="shared" si="29"/>
        <v>19.131428571428572</v>
      </c>
      <c r="J200" s="25">
        <f>(F200/(1+'Autres hypothèses'!$D$5))*('Autres hypothèses'!$D$5/(((1+'Autres hypothèses'!$D$5)^'Conduite principale'!H200-1)))</f>
        <v>13.170330145928295</v>
      </c>
      <c r="K200" s="26">
        <v>1997</v>
      </c>
      <c r="L200" s="22">
        <f t="shared" si="24"/>
        <v>25</v>
      </c>
      <c r="M200" s="1">
        <f t="shared" si="25"/>
        <v>0.35714285714285715</v>
      </c>
      <c r="N200" s="3">
        <f t="shared" si="26"/>
        <v>478.28571428571433</v>
      </c>
      <c r="O200" s="3">
        <f t="shared" si="27"/>
        <v>860.91428571428571</v>
      </c>
      <c r="P200">
        <f t="shared" si="30"/>
        <v>2067</v>
      </c>
      <c r="Q200">
        <f t="shared" si="31"/>
        <v>2137</v>
      </c>
    </row>
    <row r="201" spans="1:17" x14ac:dyDescent="0.25">
      <c r="A201" s="15" t="s">
        <v>362</v>
      </c>
      <c r="B201" s="5" t="s">
        <v>2840</v>
      </c>
      <c r="C201" s="5">
        <v>375</v>
      </c>
      <c r="D201" s="21">
        <v>79.899999999999991</v>
      </c>
      <c r="E201" s="24">
        <f>VLOOKUP(C201,'Taux unitaires'!H:I,2,FALSE)</f>
        <v>1534.5</v>
      </c>
      <c r="F201" s="25">
        <f t="shared" si="28"/>
        <v>122606.54999999999</v>
      </c>
      <c r="G201" s="26">
        <f>VLOOKUP(B201,'Durée de vie utile'!$C$20:$E$25,3,FALSE)</f>
        <v>125</v>
      </c>
      <c r="H201" s="26">
        <f>VLOOKUP('Conduite principale'!B201,'Durée de vie utile'!$C$20:$E$25,2,FALSE)</f>
        <v>80</v>
      </c>
      <c r="I201" s="25">
        <f t="shared" si="29"/>
        <v>1532.5818749999999</v>
      </c>
      <c r="J201" s="25">
        <f>(F201/(1+'Autres hypothèses'!$D$5))*('Autres hypothèses'!$D$5/(((1+'Autres hypothèses'!$D$5)^'Conduite principale'!H201-1)))</f>
        <v>997.70777949426167</v>
      </c>
      <c r="K201" s="26">
        <v>1997</v>
      </c>
      <c r="L201" s="22">
        <f t="shared" si="24"/>
        <v>25</v>
      </c>
      <c r="M201" s="1">
        <f t="shared" si="25"/>
        <v>0.3125</v>
      </c>
      <c r="N201" s="3">
        <f t="shared" si="26"/>
        <v>38314.546875</v>
      </c>
      <c r="O201" s="3">
        <f t="shared" si="27"/>
        <v>84292.003124999988</v>
      </c>
      <c r="P201">
        <f t="shared" si="30"/>
        <v>2077</v>
      </c>
      <c r="Q201">
        <f t="shared" si="31"/>
        <v>2157</v>
      </c>
    </row>
    <row r="203" spans="1:17" x14ac:dyDescent="0.25">
      <c r="F203" s="3">
        <f>SUM(F2:F202)</f>
        <v>16082555.100000005</v>
      </c>
      <c r="I203" s="3">
        <f>SUM(I2:I202)</f>
        <v>202363.35830357144</v>
      </c>
      <c r="J203" s="3">
        <f>SUM(J2:J202)</f>
        <v>132203.04438522385</v>
      </c>
      <c r="N203" s="3">
        <f>SUM(N2:N202)</f>
        <v>8886856.810148811</v>
      </c>
    </row>
    <row r="204" spans="1:17" x14ac:dyDescent="0.25">
      <c r="N204" s="1">
        <f>N203/F203</f>
        <v>0.55257742037201585</v>
      </c>
    </row>
    <row r="205" spans="1:17" x14ac:dyDescent="0.25">
      <c r="I205" s="3"/>
      <c r="J205" s="3"/>
    </row>
    <row r="206" spans="1:17" x14ac:dyDescent="0.25">
      <c r="I206" s="3"/>
      <c r="J206" s="3"/>
    </row>
    <row r="208" spans="1:17" x14ac:dyDescent="0.25">
      <c r="I208" s="3"/>
      <c r="J208" s="3"/>
    </row>
    <row r="210" spans="9:10" x14ac:dyDescent="0.25">
      <c r="I210" s="29"/>
    </row>
    <row r="211" spans="9:10" x14ac:dyDescent="0.25">
      <c r="I211" s="2"/>
    </row>
    <row r="212" spans="9:10" x14ac:dyDescent="0.25">
      <c r="I212" s="2"/>
      <c r="J212" s="3"/>
    </row>
    <row r="213" spans="9:10" x14ac:dyDescent="0.25">
      <c r="J213" s="3"/>
    </row>
    <row r="214" spans="9:10" x14ac:dyDescent="0.25">
      <c r="I214" s="29"/>
      <c r="J214" s="3"/>
    </row>
    <row r="215" spans="9:10" x14ac:dyDescent="0.25">
      <c r="J215" s="3"/>
    </row>
  </sheetData>
  <autoFilter ref="A1:Q201" xr:uid="{52A51ECE-7CD4-4E76-A24B-EA8960487EE3}"/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EF8C-1637-4E00-9874-12FBEA53176A}">
  <dimension ref="E4:F22"/>
  <sheetViews>
    <sheetView zoomScaleNormal="100" workbookViewId="0">
      <selection activeCell="M22" sqref="M22"/>
    </sheetView>
  </sheetViews>
  <sheetFormatPr defaultColWidth="9.140625" defaultRowHeight="15" x14ac:dyDescent="0.25"/>
  <cols>
    <col min="5" max="5" width="42.28515625" bestFit="1" customWidth="1"/>
    <col min="6" max="6" width="14.5703125" style="2" bestFit="1" customWidth="1"/>
  </cols>
  <sheetData>
    <row r="4" spans="5:6" x14ac:dyDescent="0.25">
      <c r="E4" t="s">
        <v>1220</v>
      </c>
      <c r="F4" s="2">
        <v>50000</v>
      </c>
    </row>
    <row r="5" spans="5:6" x14ac:dyDescent="0.25">
      <c r="E5" t="s">
        <v>363</v>
      </c>
      <c r="F5" s="2">
        <v>25000</v>
      </c>
    </row>
    <row r="6" spans="5:6" x14ac:dyDescent="0.25">
      <c r="E6" t="s">
        <v>364</v>
      </c>
      <c r="F6" s="2">
        <v>25000</v>
      </c>
    </row>
    <row r="7" spans="5:6" x14ac:dyDescent="0.25">
      <c r="E7" t="s">
        <v>365</v>
      </c>
      <c r="F7" s="2">
        <v>10000</v>
      </c>
    </row>
    <row r="9" spans="5:6" x14ac:dyDescent="0.25">
      <c r="F9" s="2">
        <f>SUM(F4:F7)</f>
        <v>110000</v>
      </c>
    </row>
    <row r="11" spans="5:6" x14ac:dyDescent="0.25">
      <c r="E11" t="s">
        <v>366</v>
      </c>
      <c r="F11" s="2">
        <f>'Conduite principale'!I203</f>
        <v>202363.35830357144</v>
      </c>
    </row>
    <row r="13" spans="5:6" x14ac:dyDescent="0.25">
      <c r="E13" t="s">
        <v>367</v>
      </c>
      <c r="F13" s="1">
        <f>F9/F11</f>
        <v>0.54357666784213798</v>
      </c>
    </row>
    <row r="15" spans="5:6" x14ac:dyDescent="0.25">
      <c r="E15" t="s">
        <v>368</v>
      </c>
      <c r="F15" s="2">
        <f>F11-F9</f>
        <v>92363.35830357144</v>
      </c>
    </row>
    <row r="17" spans="5:6" x14ac:dyDescent="0.25">
      <c r="F17" s="2">
        <f>F15*100</f>
        <v>9236335.8303571437</v>
      </c>
    </row>
    <row r="19" spans="5:6" x14ac:dyDescent="0.25">
      <c r="E19" t="s">
        <v>369</v>
      </c>
      <c r="F19" s="2">
        <f>'Conduite principale'!N203</f>
        <v>8886856.810148811</v>
      </c>
    </row>
    <row r="20" spans="5:6" x14ac:dyDescent="0.25">
      <c r="E20" t="s">
        <v>370</v>
      </c>
      <c r="F20" s="2">
        <v>500000</v>
      </c>
    </row>
    <row r="22" spans="5:6" x14ac:dyDescent="0.25">
      <c r="E22" t="s">
        <v>371</v>
      </c>
      <c r="F22" s="2">
        <f>F19-F20</f>
        <v>8386856.810148811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AAEA534C0004FB02ED2D5AC8CB1D7" ma:contentTypeVersion="18" ma:contentTypeDescription="Create a new document." ma:contentTypeScope="" ma:versionID="739d22e3aeab93d6dc32648b76c3949a">
  <xsd:schema xmlns:xsd="http://www.w3.org/2001/XMLSchema" xmlns:xs="http://www.w3.org/2001/XMLSchema" xmlns:p="http://schemas.microsoft.com/office/2006/metadata/properties" xmlns:ns2="a5e63ade-ab82-4a83-b504-a022de2b78f6" xmlns:ns3="ccae1c0b-e2bf-457b-af4c-451f8c637e52" targetNamespace="http://schemas.microsoft.com/office/2006/metadata/properties" ma:root="true" ma:fieldsID="3607fd7de73ffcf61b8e355274cb3b92" ns2:_="" ns3:_="">
    <xsd:import namespace="a5e63ade-ab82-4a83-b504-a022de2b78f6"/>
    <xsd:import namespace="ccae1c0b-e2bf-457b-af4c-451f8c637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3ade-ab82-4a83-b504-a022de2b7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c7ba914-f169-47ff-a93b-9f4ea1b730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e1c0b-e2bf-457b-af4c-451f8c637e5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a0612b-f870-44a2-812d-c7ff66a9fbc7}" ma:internalName="TaxCatchAll" ma:showField="CatchAllData" ma:web="ccae1c0b-e2bf-457b-af4c-451f8c637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63ade-ab82-4a83-b504-a022de2b78f6">
      <Terms xmlns="http://schemas.microsoft.com/office/infopath/2007/PartnerControls"/>
    </lcf76f155ced4ddcb4097134ff3c332f>
    <TaxCatchAll xmlns="ccae1c0b-e2bf-457b-af4c-451f8c637e52" xsi:nil="true"/>
  </documentManagement>
</p:properties>
</file>

<file path=customXml/itemProps1.xml><?xml version="1.0" encoding="utf-8"?>
<ds:datastoreItem xmlns:ds="http://schemas.openxmlformats.org/officeDocument/2006/customXml" ds:itemID="{7E526980-B61A-4F52-BF5C-019A08FEB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4F1A9-EDAB-491D-BC13-B90A20DDA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e63ade-ab82-4a83-b504-a022de2b78f6"/>
    <ds:schemaRef ds:uri="ccae1c0b-e2bf-457b-af4c-451f8c637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C69859-8072-4FEB-B9D8-138D7154588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a5e63ade-ab82-4a83-b504-a022de2b78f6"/>
    <ds:schemaRef ds:uri="http://schemas.microsoft.com/office/infopath/2007/PartnerControls"/>
    <ds:schemaRef ds:uri="ccae1c0b-e2bf-457b-af4c-451f8c637e5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Sommaire</vt:lpstr>
      <vt:lpstr>Autres hypothèses</vt:lpstr>
      <vt:lpstr>Financement actuel</vt:lpstr>
      <vt:lpstr>Aires de jeux</vt:lpstr>
      <vt:lpstr>Véhicules et équipement</vt:lpstr>
      <vt:lpstr>Durée de vie utile</vt:lpstr>
      <vt:lpstr>Taux unitaires</vt:lpstr>
      <vt:lpstr>Conduite principale</vt:lpstr>
      <vt:lpstr>Sources de financement</vt:lpstr>
      <vt:lpstr>Analyse de sensibilité</vt:lpstr>
      <vt:lpstr>Dépenses prévues - égouts</vt:lpstr>
      <vt:lpstr>Bâtiments</vt:lpstr>
      <vt:lpstr>Bâtiments - Composant</vt:lpstr>
      <vt:lpstr>Routes</vt:lpstr>
      <vt:lpstr>Conduite princ. - égout pluvial</vt:lpstr>
      <vt:lpstr>Conduite principale d'eau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Paine</dc:creator>
  <cp:keywords/>
  <dc:description/>
  <cp:lastModifiedBy>Sarah MacFord</cp:lastModifiedBy>
  <cp:revision/>
  <dcterms:created xsi:type="dcterms:W3CDTF">2022-09-30T19:52:41Z</dcterms:created>
  <dcterms:modified xsi:type="dcterms:W3CDTF">2024-08-19T20:29:59Z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0x0101008F4AAEA534C0004FB02ED2D5AC8CB1D7</vt:lpwstr>
  </property>
  <property fmtid="{D5CDD505-2E9C-101B-9397-08002B2CF9AE}" pid="3" name="MediaServiceImageTags">
    <vt:lpwstr/>
  </property>
</Properties>
</file>